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9440" windowHeight="7740"/>
  </bookViews>
  <sheets>
    <sheet name="ARC24" sheetId="1" r:id="rId1"/>
    <sheet name="ARC12" sheetId="2" r:id="rId2"/>
    <sheet name="ARC12n" sheetId="3" r:id="rId3"/>
    <sheet name="ARC8" sheetId="4" r:id="rId4"/>
  </sheets>
  <calcPr calcId="145621"/>
</workbook>
</file>

<file path=xl/calcChain.xml><?xml version="1.0" encoding="utf-8"?>
<calcChain xmlns="http://schemas.openxmlformats.org/spreadsheetml/2006/main">
  <c r="AA30" i="4" l="1"/>
  <c r="AB30" i="4" s="1"/>
  <c r="F30" i="4"/>
  <c r="E30" i="4"/>
  <c r="AA21" i="1" l="1"/>
  <c r="AA20" i="1"/>
  <c r="AA18" i="1"/>
  <c r="AA17" i="1"/>
  <c r="AA16" i="1"/>
  <c r="AA15" i="1"/>
  <c r="AA13" i="1"/>
  <c r="AA12" i="1"/>
  <c r="AA11" i="1"/>
  <c r="AA10" i="1"/>
  <c r="AA9" i="1"/>
  <c r="G15" i="1"/>
  <c r="G20" i="1"/>
  <c r="Y28" i="4"/>
  <c r="F27" i="4"/>
  <c r="F26" i="4"/>
  <c r="F21" i="4"/>
  <c r="F18" i="4"/>
  <c r="F19" i="4"/>
  <c r="F14" i="4"/>
  <c r="F12" i="4"/>
  <c r="F15" i="4"/>
  <c r="F13" i="4"/>
  <c r="F10" i="4"/>
  <c r="F9" i="4"/>
  <c r="E27" i="4"/>
  <c r="E26" i="4"/>
  <c r="E21" i="4"/>
  <c r="E18" i="4"/>
  <c r="E19" i="4"/>
  <c r="E14" i="4"/>
  <c r="E12" i="4"/>
  <c r="E15" i="4"/>
  <c r="E13" i="4"/>
  <c r="E10" i="4"/>
  <c r="E9" i="4"/>
  <c r="X28" i="4"/>
  <c r="X23" i="4"/>
  <c r="Y23" i="4" s="1"/>
  <c r="X16" i="4"/>
  <c r="Y16" i="4" s="1"/>
  <c r="V30" i="4"/>
  <c r="X30" i="4" s="1"/>
  <c r="Y30" i="4" s="1"/>
  <c r="V28" i="4"/>
  <c r="V27" i="4"/>
  <c r="X27" i="4" s="1"/>
  <c r="Y27" i="4" s="1"/>
  <c r="AA27" i="4" s="1"/>
  <c r="AB27" i="4" s="1"/>
  <c r="V26" i="4"/>
  <c r="X26" i="4" s="1"/>
  <c r="Y26" i="4" s="1"/>
  <c r="V21" i="4"/>
  <c r="V24" i="4"/>
  <c r="X24" i="4" s="1"/>
  <c r="Y24" i="4" s="1"/>
  <c r="V23" i="4"/>
  <c r="V22" i="4"/>
  <c r="V18" i="4"/>
  <c r="X18" i="4" s="1"/>
  <c r="Y18" i="4" s="1"/>
  <c r="AA18" i="4" s="1"/>
  <c r="AB18" i="4" s="1"/>
  <c r="V19" i="4"/>
  <c r="V14" i="4"/>
  <c r="V12" i="4"/>
  <c r="X12" i="4" s="1"/>
  <c r="Y12" i="4" s="1"/>
  <c r="AA12" i="4" s="1"/>
  <c r="AB12" i="4" s="1"/>
  <c r="V16" i="4"/>
  <c r="V15" i="4"/>
  <c r="V13" i="4"/>
  <c r="V10" i="4"/>
  <c r="X10" i="4" s="1"/>
  <c r="Y10" i="4" s="1"/>
  <c r="AA10" i="4" s="1"/>
  <c r="AB10" i="4" s="1"/>
  <c r="V9" i="4"/>
  <c r="X9" i="4" s="1"/>
  <c r="Y9" i="4" s="1"/>
  <c r="AA9" i="4" s="1"/>
  <c r="AB9" i="4" s="1"/>
  <c r="N30" i="4"/>
  <c r="N28" i="4"/>
  <c r="N27" i="4"/>
  <c r="N26" i="4"/>
  <c r="N21" i="4"/>
  <c r="N24" i="4"/>
  <c r="N23" i="4"/>
  <c r="N22" i="4"/>
  <c r="X22" i="4" s="1"/>
  <c r="Y22" i="4" s="1"/>
  <c r="N18" i="4"/>
  <c r="N19" i="4"/>
  <c r="N14" i="4"/>
  <c r="N12" i="4"/>
  <c r="N16" i="4"/>
  <c r="N15" i="4"/>
  <c r="N13" i="4"/>
  <c r="N10" i="4"/>
  <c r="N9" i="4"/>
  <c r="Y26" i="3"/>
  <c r="Y24" i="3"/>
  <c r="Y23" i="3"/>
  <c r="Y21" i="3"/>
  <c r="Y15" i="3"/>
  <c r="Y19" i="3"/>
  <c r="Y14" i="3"/>
  <c r="Y16" i="3"/>
  <c r="Y17" i="3"/>
  <c r="Y18" i="3"/>
  <c r="Y11" i="3"/>
  <c r="Y12" i="3"/>
  <c r="Y9" i="3"/>
  <c r="Q26" i="3"/>
  <c r="Q24" i="3"/>
  <c r="Q23" i="3"/>
  <c r="Q21" i="3"/>
  <c r="AA21" i="3" s="1"/>
  <c r="Q15" i="3"/>
  <c r="Q19" i="3"/>
  <c r="Q14" i="3"/>
  <c r="Q16" i="3"/>
  <c r="Q17" i="3"/>
  <c r="Q18" i="3"/>
  <c r="Q11" i="3"/>
  <c r="Q12" i="3"/>
  <c r="AA12" i="3" s="1"/>
  <c r="Q9" i="3"/>
  <c r="G26" i="3"/>
  <c r="G24" i="3"/>
  <c r="G23" i="3"/>
  <c r="G21" i="3"/>
  <c r="G15" i="3"/>
  <c r="G14" i="3"/>
  <c r="G16" i="3"/>
  <c r="G17" i="3"/>
  <c r="G18" i="3"/>
  <c r="G11" i="3"/>
  <c r="G12" i="3"/>
  <c r="G9" i="3"/>
  <c r="F26" i="3"/>
  <c r="F24" i="3"/>
  <c r="F23" i="3"/>
  <c r="F21" i="3"/>
  <c r="F15" i="3"/>
  <c r="F14" i="3"/>
  <c r="F16" i="3"/>
  <c r="F17" i="3"/>
  <c r="F18" i="3"/>
  <c r="F11" i="3"/>
  <c r="F12" i="3"/>
  <c r="F9" i="3"/>
  <c r="AB25" i="2"/>
  <c r="AC25" i="2" s="1"/>
  <c r="AE25" i="2" s="1"/>
  <c r="AF25" i="2" s="1"/>
  <c r="Z27" i="2"/>
  <c r="AB27" i="2" s="1"/>
  <c r="AC27" i="2" s="1"/>
  <c r="Z25" i="2"/>
  <c r="Z23" i="2"/>
  <c r="AB23" i="2" s="1"/>
  <c r="AC23" i="2" s="1"/>
  <c r="Z18" i="2"/>
  <c r="AB18" i="2" s="1"/>
  <c r="AC18" i="2" s="1"/>
  <c r="Z17" i="2"/>
  <c r="AB17" i="2" s="1"/>
  <c r="AC17" i="2" s="1"/>
  <c r="AE17" i="2" s="1"/>
  <c r="AF17" i="2" s="1"/>
  <c r="Z20" i="2"/>
  <c r="AB20" i="2" s="1"/>
  <c r="AC20" i="2" s="1"/>
  <c r="Z19" i="2"/>
  <c r="AB19" i="2" s="1"/>
  <c r="AC19" i="2" s="1"/>
  <c r="AE19" i="2" s="1"/>
  <c r="AF19" i="2" s="1"/>
  <c r="Z21" i="2"/>
  <c r="AB21" i="2" s="1"/>
  <c r="AC21" i="2" s="1"/>
  <c r="Z15" i="2"/>
  <c r="AB15" i="2" s="1"/>
  <c r="AC15" i="2" s="1"/>
  <c r="AE15" i="2" s="1"/>
  <c r="AF15" i="2" s="1"/>
  <c r="Z10" i="2"/>
  <c r="AB10" i="2" s="1"/>
  <c r="AC10" i="2" s="1"/>
  <c r="AE10" i="2" s="1"/>
  <c r="AF10" i="2" s="1"/>
  <c r="Z13" i="2"/>
  <c r="Z12" i="2"/>
  <c r="Z9" i="2"/>
  <c r="Z11" i="2"/>
  <c r="AB11" i="2" s="1"/>
  <c r="AC11" i="2" s="1"/>
  <c r="Q27" i="2"/>
  <c r="Q25" i="2"/>
  <c r="Q23" i="2"/>
  <c r="Q18" i="2"/>
  <c r="Q17" i="2"/>
  <c r="Q20" i="2"/>
  <c r="Q19" i="2"/>
  <c r="Q21" i="2"/>
  <c r="Q15" i="2"/>
  <c r="Q10" i="2"/>
  <c r="Q13" i="2"/>
  <c r="Q12" i="2"/>
  <c r="Q9" i="2"/>
  <c r="Q11" i="2"/>
  <c r="G27" i="2"/>
  <c r="F27" i="2"/>
  <c r="G25" i="2"/>
  <c r="G23" i="2"/>
  <c r="G18" i="2"/>
  <c r="G17" i="2"/>
  <c r="G20" i="2"/>
  <c r="G19" i="2"/>
  <c r="G21" i="2"/>
  <c r="G15" i="2"/>
  <c r="G9" i="2"/>
  <c r="G12" i="2"/>
  <c r="G10" i="2"/>
  <c r="G11" i="2"/>
  <c r="F25" i="2"/>
  <c r="F23" i="2"/>
  <c r="F18" i="2"/>
  <c r="F17" i="2"/>
  <c r="F20" i="2"/>
  <c r="F19" i="2"/>
  <c r="F21" i="2"/>
  <c r="F15" i="2"/>
  <c r="F10" i="2"/>
  <c r="F12" i="2"/>
  <c r="F9" i="2"/>
  <c r="F11" i="2"/>
  <c r="G10" i="1"/>
  <c r="G17" i="1"/>
  <c r="G16" i="1"/>
  <c r="G9" i="1"/>
  <c r="R21" i="1"/>
  <c r="R20" i="1"/>
  <c r="R18" i="1"/>
  <c r="R15" i="1"/>
  <c r="R17" i="1"/>
  <c r="R16" i="1"/>
  <c r="R10" i="1"/>
  <c r="R11" i="1"/>
  <c r="R9" i="1"/>
  <c r="R12" i="1"/>
  <c r="R13" i="1"/>
  <c r="X21" i="4" l="1"/>
  <c r="Y21" i="4" s="1"/>
  <c r="X19" i="4"/>
  <c r="Y19" i="4" s="1"/>
  <c r="AA19" i="4" s="1"/>
  <c r="AB19" i="4" s="1"/>
  <c r="X13" i="4"/>
  <c r="Y13" i="4" s="1"/>
  <c r="X14" i="4"/>
  <c r="Y14" i="4" s="1"/>
  <c r="X15" i="4"/>
  <c r="Y15" i="4" s="1"/>
  <c r="AA15" i="4" s="1"/>
  <c r="AB15" i="4" s="1"/>
  <c r="AA24" i="3"/>
  <c r="AB24" i="3" s="1"/>
  <c r="AD24" i="3" s="1"/>
  <c r="AE24" i="3" s="1"/>
  <c r="AB12" i="2"/>
  <c r="AC12" i="2" s="1"/>
  <c r="AE12" i="2" s="1"/>
  <c r="AF12" i="2" s="1"/>
  <c r="AA14" i="3"/>
  <c r="AB14" i="3" s="1"/>
  <c r="AD14" i="3" s="1"/>
  <c r="AA26" i="4"/>
  <c r="AB26" i="4" s="1"/>
  <c r="AA21" i="4"/>
  <c r="AB21" i="4" s="1"/>
  <c r="AA14" i="4"/>
  <c r="AB14" i="4" s="1"/>
  <c r="AA13" i="4"/>
  <c r="AB13" i="4" s="1"/>
  <c r="AA11" i="3"/>
  <c r="AB11" i="3" s="1"/>
  <c r="AD11" i="3" s="1"/>
  <c r="AE11" i="3" s="1"/>
  <c r="AE27" i="2"/>
  <c r="AF27" i="2" s="1"/>
  <c r="AA23" i="3"/>
  <c r="AB23" i="3" s="1"/>
  <c r="AD23" i="3" s="1"/>
  <c r="AE23" i="3" s="1"/>
  <c r="AB12" i="3"/>
  <c r="AD12" i="3" s="1"/>
  <c r="AE12" i="3" s="1"/>
  <c r="AA17" i="3"/>
  <c r="AB17" i="3" s="1"/>
  <c r="AD17" i="3" s="1"/>
  <c r="AE17" i="3" s="1"/>
  <c r="AA26" i="3"/>
  <c r="AB26" i="3" s="1"/>
  <c r="AD26" i="3" s="1"/>
  <c r="AE26" i="3" s="1"/>
  <c r="AA16" i="3"/>
  <c r="AB16" i="3" s="1"/>
  <c r="AD16" i="3" s="1"/>
  <c r="AE16" i="3" s="1"/>
  <c r="AB21" i="3"/>
  <c r="AD21" i="3" s="1"/>
  <c r="AE21" i="3" s="1"/>
  <c r="AA15" i="3"/>
  <c r="AB15" i="3" s="1"/>
  <c r="AD15" i="3" s="1"/>
  <c r="AE15" i="3" s="1"/>
  <c r="AA18" i="3"/>
  <c r="AB18" i="3" s="1"/>
  <c r="AD18" i="3" s="1"/>
  <c r="AE18" i="3" s="1"/>
  <c r="AA9" i="3"/>
  <c r="AB9" i="3" s="1"/>
  <c r="AD9" i="3" s="1"/>
  <c r="AE9" i="3" s="1"/>
  <c r="AB9" i="2"/>
  <c r="AC9" i="2" s="1"/>
  <c r="AE9" i="2" s="1"/>
  <c r="AB13" i="2"/>
  <c r="AE23" i="2"/>
  <c r="AF23" i="2" s="1"/>
  <c r="AE20" i="2"/>
  <c r="AF20" i="2" s="1"/>
  <c r="AE21" i="2"/>
  <c r="AF21" i="2" s="1"/>
  <c r="AE18" i="2"/>
  <c r="AF18" i="2" s="1"/>
  <c r="AE11" i="2"/>
  <c r="AF11" i="2" s="1"/>
  <c r="AD16" i="1"/>
  <c r="AC15" i="1"/>
  <c r="AD15" i="1" s="1"/>
  <c r="AC11" i="1"/>
  <c r="AD11" i="1" s="1"/>
  <c r="AC13" i="1"/>
  <c r="AD13" i="1" s="1"/>
  <c r="AC10" i="1"/>
  <c r="AD10" i="1" s="1"/>
  <c r="AC18" i="1"/>
  <c r="AD18" i="1" s="1"/>
  <c r="AC12" i="1"/>
  <c r="AD12" i="1" s="1"/>
  <c r="AC16" i="1"/>
  <c r="AC20" i="1"/>
  <c r="AD20" i="1" s="1"/>
  <c r="AC9" i="1"/>
  <c r="AD9" i="1" s="1"/>
  <c r="AC17" i="1"/>
  <c r="AD17" i="1" s="1"/>
  <c r="AC21" i="1"/>
  <c r="AD21" i="1" s="1"/>
  <c r="AF21" i="1" l="1"/>
  <c r="AG21" i="1" s="1"/>
  <c r="AF20" i="1"/>
  <c r="AG20" i="1" s="1"/>
  <c r="AE14" i="3"/>
  <c r="AF9" i="2"/>
  <c r="AF9" i="1"/>
  <c r="AG9" i="1"/>
  <c r="AF10" i="1"/>
  <c r="AG10" i="1" s="1"/>
  <c r="AF13" i="1"/>
  <c r="AG13" i="1"/>
  <c r="AF12" i="1"/>
  <c r="AG12" i="1" s="1"/>
  <c r="AF11" i="1"/>
  <c r="AG11" i="1" s="1"/>
  <c r="AF18" i="1"/>
  <c r="AG18" i="1"/>
  <c r="AF15" i="1"/>
  <c r="AG15" i="1"/>
  <c r="AF16" i="1"/>
  <c r="AG16" i="1"/>
  <c r="AF17" i="1"/>
  <c r="AG17" i="1"/>
</calcChain>
</file>

<file path=xl/sharedStrings.xml><?xml version="1.0" encoding="utf-8"?>
<sst xmlns="http://schemas.openxmlformats.org/spreadsheetml/2006/main" count="321" uniqueCount="135">
  <si>
    <t>ARC ADVENTURE RACE</t>
  </si>
  <si>
    <t>2014 RESULTS</t>
  </si>
  <si>
    <t>ARC 24</t>
  </si>
  <si>
    <t>Team</t>
  </si>
  <si>
    <t>No</t>
  </si>
  <si>
    <t>Time</t>
  </si>
  <si>
    <t>Started</t>
  </si>
  <si>
    <t>Finished</t>
  </si>
  <si>
    <t>Elapsed</t>
  </si>
  <si>
    <t>Penalties</t>
  </si>
  <si>
    <t>Stage 1</t>
  </si>
  <si>
    <t>Stage 3</t>
  </si>
  <si>
    <t>Stage 4</t>
  </si>
  <si>
    <t>Stage 7</t>
  </si>
  <si>
    <t>Trek</t>
  </si>
  <si>
    <t>MTB</t>
  </si>
  <si>
    <t>Missed Activity / Stage</t>
  </si>
  <si>
    <t>RS</t>
  </si>
  <si>
    <t>RC</t>
  </si>
  <si>
    <t>Cave</t>
  </si>
  <si>
    <t>River</t>
  </si>
  <si>
    <t>Other</t>
  </si>
  <si>
    <t>TOTAL</t>
  </si>
  <si>
    <t>PENALTIES</t>
  </si>
  <si>
    <t>Bonus Times</t>
  </si>
  <si>
    <t>Missed Checkpoints</t>
  </si>
  <si>
    <t>Rock</t>
  </si>
  <si>
    <t>Climb</t>
  </si>
  <si>
    <t>Caving</t>
  </si>
  <si>
    <t>Shoot</t>
  </si>
  <si>
    <t>Bonus</t>
  </si>
  <si>
    <t>NET</t>
  </si>
  <si>
    <t>ADJUST</t>
  </si>
  <si>
    <t>TEAM Name</t>
  </si>
  <si>
    <t>Penalties - Minutes</t>
  </si>
  <si>
    <t>Bonus - Minutes</t>
  </si>
  <si>
    <t>MINUTES</t>
  </si>
  <si>
    <t>ARC 12</t>
  </si>
  <si>
    <t>BONUS</t>
  </si>
  <si>
    <t>ARC 12 - Non Kayaing</t>
  </si>
  <si>
    <t>ARC 8</t>
  </si>
  <si>
    <t>Bonus Time</t>
  </si>
  <si>
    <t>Rifle</t>
  </si>
  <si>
    <t>NPDC</t>
  </si>
  <si>
    <t>The Substitutes</t>
  </si>
  <si>
    <t>Velocity Raptors</t>
  </si>
  <si>
    <t>Canyonz</t>
  </si>
  <si>
    <t>Bivouac Staff</t>
  </si>
  <si>
    <t>LIC Newstead Bulls</t>
  </si>
  <si>
    <t>Opotiki Opossums</t>
  </si>
  <si>
    <t>Out for the View</t>
  </si>
  <si>
    <t>Four Gone</t>
  </si>
  <si>
    <t>Uwerea 2</t>
  </si>
  <si>
    <t>POSITION</t>
  </si>
  <si>
    <t>Mixed Fours</t>
  </si>
  <si>
    <t>Fuse Creative</t>
  </si>
  <si>
    <t>Nga Rakau</t>
  </si>
  <si>
    <t>Jixel</t>
  </si>
  <si>
    <t>Good Times</t>
  </si>
  <si>
    <t>Womens Fours</t>
  </si>
  <si>
    <t>Wandering Wombles</t>
  </si>
  <si>
    <t>School Fours</t>
  </si>
  <si>
    <t>New Plymouth Boys A</t>
  </si>
  <si>
    <t>New Plymouth Boys and Girls</t>
  </si>
  <si>
    <t>New Plymouth Boys B</t>
  </si>
  <si>
    <t>Opunake Boys</t>
  </si>
  <si>
    <t>Opunake Girls</t>
  </si>
  <si>
    <t>Mens Fours</t>
  </si>
  <si>
    <t>Crash Bandicoot</t>
  </si>
  <si>
    <t>Mens Pairs</t>
  </si>
  <si>
    <t>Ar nós na gaoithe</t>
  </si>
  <si>
    <t>Womens Pairs</t>
  </si>
  <si>
    <t>Mixed Pairs</t>
  </si>
  <si>
    <t>The Green Cardie</t>
  </si>
  <si>
    <t>Schools Pairs</t>
  </si>
  <si>
    <t>Glowbugz</t>
  </si>
  <si>
    <t>Mens Pqirs</t>
  </si>
  <si>
    <t>Rendall's Rumpty Rascals</t>
  </si>
  <si>
    <t>Hope for the best</t>
  </si>
  <si>
    <t>School Fours / Threes</t>
  </si>
  <si>
    <t>Team Dead</t>
  </si>
  <si>
    <t>Warts 1</t>
  </si>
  <si>
    <t>Warts 3</t>
  </si>
  <si>
    <t>Warts 4</t>
  </si>
  <si>
    <t>Warts 5</t>
  </si>
  <si>
    <t>CHS Awesome</t>
  </si>
  <si>
    <t>Blitzers</t>
  </si>
  <si>
    <t>Women Pairs</t>
  </si>
  <si>
    <t>Body Mechanics - Power Cookie Girls</t>
  </si>
  <si>
    <t>Mens Twos</t>
  </si>
  <si>
    <t>Craven Morebush</t>
  </si>
  <si>
    <t>Huckers and Pacers - The next level</t>
  </si>
  <si>
    <t>Team SG</t>
  </si>
  <si>
    <t>Oscar Mike</t>
  </si>
  <si>
    <t>Elfum's Crew</t>
  </si>
  <si>
    <t>Rhino you love it !</t>
  </si>
  <si>
    <t>School Pairs</t>
  </si>
  <si>
    <t>Boys High School Bashers</t>
  </si>
  <si>
    <t>Warts 2</t>
  </si>
  <si>
    <t>GnT</t>
  </si>
  <si>
    <t>Happy At Last</t>
  </si>
  <si>
    <t>Taking time to smell the daisies</t>
  </si>
  <si>
    <t>Salmonella</t>
  </si>
  <si>
    <t>Ooh La la</t>
  </si>
  <si>
    <t>Quality Time</t>
  </si>
  <si>
    <t>The Dookays</t>
  </si>
  <si>
    <t>Circus Kani</t>
  </si>
  <si>
    <t>Bonus Minutes</t>
  </si>
  <si>
    <t>Jawesome</t>
  </si>
  <si>
    <t>Kayak</t>
  </si>
  <si>
    <t>Stage 6</t>
  </si>
  <si>
    <t>Dazed and Confused</t>
  </si>
  <si>
    <t>Comments</t>
  </si>
  <si>
    <t>Full course</t>
  </si>
  <si>
    <t>Full Course</t>
  </si>
  <si>
    <t>ARC 12 Stage 6 Trek</t>
  </si>
  <si>
    <t>Wrong Way on Stage 7 Trek</t>
  </si>
  <si>
    <t>Withdrew at end of Stage 6</t>
  </si>
  <si>
    <t>Wait</t>
  </si>
  <si>
    <t>Mins</t>
  </si>
  <si>
    <t>MINS</t>
  </si>
  <si>
    <t>Hours</t>
  </si>
  <si>
    <t>Elasped</t>
  </si>
  <si>
    <t>Minutes</t>
  </si>
  <si>
    <t xml:space="preserve">Time </t>
  </si>
  <si>
    <t>Squashed Bananas</t>
  </si>
  <si>
    <t>Finish at Stage 5</t>
  </si>
  <si>
    <t>Less</t>
  </si>
  <si>
    <t xml:space="preserve">Missed Activity </t>
  </si>
  <si>
    <t>Withdrew</t>
  </si>
  <si>
    <t>Withdrew - Bridal</t>
  </si>
  <si>
    <t>Trident Tri-hards</t>
  </si>
  <si>
    <t xml:space="preserve">RC </t>
  </si>
  <si>
    <t>PROVISIONAL</t>
  </si>
  <si>
    <t>Withdrew Kamaru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</si>
</sst>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#,##0;\(#,##0\)"/>
    <numFmt numFmtId="165" formatCode="hh:mm:ss;@"/>
    <numFmt numFmtId="166" formatCode="_-* #,##0.0_-;\-* #,##0.0_-;_-* &quot;-&quot;??_-;_-@_-"/>
    <numFmt numFmtId="167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0"/>
      <name val="Calibri"/>
      <family val="2"/>
    </font>
    <font>
      <sz val="12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0" fillId="0" borderId="0" applyFill="0" applyProtection="0"/>
    <xf numFmtId="43" fontId="1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/>
    <xf numFmtId="0" fontId="2" fillId="0" borderId="2" xfId="0" applyFont="1" applyBorder="1"/>
    <xf numFmtId="0" fontId="0" fillId="0" borderId="2" xfId="0" applyBorder="1"/>
    <xf numFmtId="0" fontId="4" fillId="0" borderId="2" xfId="0" applyFont="1" applyBorder="1"/>
    <xf numFmtId="0" fontId="1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2" borderId="2" xfId="0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3" fillId="2" borderId="3" xfId="0" applyFont="1" applyFill="1" applyBorder="1"/>
    <xf numFmtId="0" fontId="0" fillId="2" borderId="3" xfId="0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3" fillId="2" borderId="1" xfId="0" applyFont="1" applyFill="1" applyBorder="1"/>
    <xf numFmtId="0" fontId="0" fillId="2" borderId="1" xfId="0" applyFill="1" applyBorder="1"/>
    <xf numFmtId="0" fontId="5" fillId="0" borderId="1" xfId="0" applyFont="1" applyFill="1" applyBorder="1" applyAlignment="1" applyProtection="1">
      <alignment horizontal="center"/>
    </xf>
    <xf numFmtId="0" fontId="5" fillId="0" borderId="1" xfId="0" applyFont="1" applyFill="1" applyBorder="1" applyProtection="1"/>
    <xf numFmtId="0" fontId="3" fillId="0" borderId="1" xfId="0" applyFont="1" applyBorder="1"/>
    <xf numFmtId="0" fontId="7" fillId="2" borderId="8" xfId="0" applyFont="1" applyFill="1" applyBorder="1" applyAlignment="1" applyProtection="1"/>
    <xf numFmtId="0" fontId="7" fillId="2" borderId="9" xfId="0" applyFont="1" applyFill="1" applyBorder="1" applyAlignment="1" applyProtection="1"/>
    <xf numFmtId="0" fontId="9" fillId="0" borderId="1" xfId="1" applyFont="1" applyBorder="1"/>
    <xf numFmtId="0" fontId="5" fillId="0" borderId="1" xfId="2" applyFont="1" applyFill="1" applyBorder="1" applyProtection="1"/>
    <xf numFmtId="0" fontId="1" fillId="2" borderId="1" xfId="0" applyFont="1" applyFill="1" applyBorder="1"/>
    <xf numFmtId="0" fontId="5" fillId="0" borderId="8" xfId="0" applyFont="1" applyFill="1" applyBorder="1" applyAlignment="1" applyProtection="1">
      <alignment horizontal="center"/>
    </xf>
    <xf numFmtId="0" fontId="5" fillId="0" borderId="11" xfId="0" applyFont="1" applyFill="1" applyBorder="1" applyAlignment="1" applyProtection="1">
      <alignment horizontal="center"/>
    </xf>
    <xf numFmtId="0" fontId="5" fillId="0" borderId="12" xfId="0" applyFont="1" applyFill="1" applyBorder="1" applyAlignment="1" applyProtection="1">
      <alignment horizontal="center"/>
    </xf>
    <xf numFmtId="0" fontId="5" fillId="0" borderId="1" xfId="0" applyFont="1" applyBorder="1"/>
    <xf numFmtId="0" fontId="7" fillId="2" borderId="1" xfId="0" applyFont="1" applyFill="1" applyBorder="1" applyAlignment="1" applyProtection="1"/>
    <xf numFmtId="0" fontId="4" fillId="0" borderId="5" xfId="0" applyFont="1" applyBorder="1" applyAlignment="1">
      <alignment horizontal="center"/>
    </xf>
    <xf numFmtId="0" fontId="5" fillId="0" borderId="8" xfId="0" applyFont="1" applyFill="1" applyBorder="1" applyProtection="1"/>
    <xf numFmtId="0" fontId="4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1" xfId="0" applyFont="1" applyFill="1" applyBorder="1" applyAlignment="1" applyProtection="1">
      <alignment horizontal="left"/>
    </xf>
    <xf numFmtId="20" fontId="3" fillId="0" borderId="1" xfId="0" applyNumberFormat="1" applyFont="1" applyBorder="1"/>
    <xf numFmtId="0" fontId="3" fillId="0" borderId="0" xfId="0" applyFont="1"/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/>
    <xf numFmtId="164" fontId="3" fillId="2" borderId="1" xfId="0" applyNumberFormat="1" applyFont="1" applyFill="1" applyBorder="1"/>
    <xf numFmtId="164" fontId="3" fillId="0" borderId="0" xfId="0" applyNumberFormat="1" applyFont="1"/>
    <xf numFmtId="165" fontId="3" fillId="0" borderId="1" xfId="0" applyNumberFormat="1" applyFont="1" applyBorder="1" applyAlignment="1">
      <alignment horizontal="left"/>
    </xf>
    <xf numFmtId="165" fontId="3" fillId="0" borderId="1" xfId="0" applyNumberFormat="1" applyFont="1" applyBorder="1"/>
    <xf numFmtId="165" fontId="3" fillId="2" borderId="1" xfId="0" applyNumberFormat="1" applyFont="1" applyFill="1" applyBorder="1"/>
    <xf numFmtId="165" fontId="3" fillId="0" borderId="0" xfId="0" applyNumberFormat="1" applyFont="1"/>
    <xf numFmtId="166" fontId="3" fillId="0" borderId="0" xfId="3" applyNumberFormat="1" applyFont="1"/>
    <xf numFmtId="167" fontId="3" fillId="0" borderId="1" xfId="3" applyNumberFormat="1" applyFont="1" applyBorder="1" applyAlignment="1">
      <alignment horizontal="left"/>
    </xf>
    <xf numFmtId="167" fontId="3" fillId="0" borderId="1" xfId="3" applyNumberFormat="1" applyFont="1" applyBorder="1"/>
    <xf numFmtId="167" fontId="3" fillId="2" borderId="1" xfId="3" applyNumberFormat="1" applyFont="1" applyFill="1" applyBorder="1"/>
    <xf numFmtId="167" fontId="3" fillId="0" borderId="0" xfId="3" applyNumberFormat="1" applyFont="1"/>
    <xf numFmtId="167" fontId="3" fillId="0" borderId="1" xfId="0" applyNumberFormat="1" applyFont="1" applyBorder="1"/>
    <xf numFmtId="20" fontId="12" fillId="0" borderId="1" xfId="0" applyNumberFormat="1" applyFont="1" applyBorder="1"/>
    <xf numFmtId="0" fontId="13" fillId="0" borderId="1" xfId="0" applyFont="1" applyBorder="1"/>
    <xf numFmtId="20" fontId="3" fillId="2" borderId="1" xfId="0" applyNumberFormat="1" applyFont="1" applyFill="1" applyBorder="1"/>
    <xf numFmtId="0" fontId="5" fillId="0" borderId="9" xfId="0" applyFont="1" applyFill="1" applyBorder="1" applyProtection="1"/>
    <xf numFmtId="167" fontId="3" fillId="2" borderId="1" xfId="0" applyNumberFormat="1" applyFont="1" applyFill="1" applyBorder="1"/>
    <xf numFmtId="20" fontId="3" fillId="0" borderId="4" xfId="0" applyNumberFormat="1" applyFont="1" applyBorder="1"/>
    <xf numFmtId="0" fontId="3" fillId="0" borderId="4" xfId="0" applyFont="1" applyBorder="1"/>
    <xf numFmtId="0" fontId="3" fillId="2" borderId="4" xfId="0" applyFont="1" applyFill="1" applyBorder="1"/>
    <xf numFmtId="0" fontId="3" fillId="0" borderId="0" xfId="0" applyFont="1" applyFill="1" applyBorder="1"/>
    <xf numFmtId="20" fontId="3" fillId="0" borderId="8" xfId="0" applyNumberFormat="1" applyFont="1" applyBorder="1"/>
    <xf numFmtId="20" fontId="3" fillId="0" borderId="10" xfId="0" applyNumberFormat="1" applyFont="1" applyBorder="1"/>
    <xf numFmtId="20" fontId="3" fillId="0" borderId="8" xfId="0" applyNumberFormat="1" applyFont="1" applyBorder="1" applyAlignment="1"/>
    <xf numFmtId="0" fontId="5" fillId="0" borderId="8" xfId="0" applyFont="1" applyFill="1" applyBorder="1" applyAlignment="1" applyProtection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5" fillId="0" borderId="8" xfId="0" applyFont="1" applyFill="1" applyBorder="1" applyAlignment="1" applyProtection="1">
      <alignment horizontal="center"/>
    </xf>
    <xf numFmtId="0" fontId="5" fillId="0" borderId="10" xfId="0" applyFont="1" applyFill="1" applyBorder="1" applyAlignment="1" applyProtection="1">
      <alignment horizontal="center"/>
    </xf>
    <xf numFmtId="0" fontId="1" fillId="0" borderId="2" xfId="0" applyFont="1" applyBorder="1" applyAlignment="1">
      <alignment horizontal="center"/>
    </xf>
    <xf numFmtId="20" fontId="3" fillId="0" borderId="8" xfId="0" applyNumberFormat="1" applyFont="1" applyBorder="1" applyAlignment="1">
      <alignment horizontal="center"/>
    </xf>
    <xf numFmtId="20" fontId="3" fillId="0" borderId="10" xfId="0" applyNumberFormat="1" applyFont="1" applyBorder="1" applyAlignment="1">
      <alignment horizontal="center"/>
    </xf>
  </cellXfs>
  <cellStyles count="4">
    <cellStyle name="Comma" xfId="3" builtinId="3"/>
    <cellStyle name="Normal" xfId="0" builtinId="0"/>
    <cellStyle name="Normal 2" xfId="2"/>
    <cellStyle name="Normal_Sheet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76"/>
  <sheetViews>
    <sheetView tabSelected="1" workbookViewId="0">
      <selection activeCell="B12" sqref="B12"/>
    </sheetView>
  </sheetViews>
  <sheetFormatPr defaultRowHeight="15" x14ac:dyDescent="0.25"/>
  <cols>
    <col min="1" max="1" width="8.28515625" customWidth="1"/>
    <col min="2" max="2" width="24.28515625" customWidth="1"/>
    <col min="3" max="3" width="27.7109375" customWidth="1"/>
    <col min="4" max="4" width="10.7109375" customWidth="1"/>
    <col min="5" max="5" width="11.28515625" customWidth="1"/>
    <col min="6" max="6" width="10.28515625" customWidth="1"/>
    <col min="7" max="7" width="10.28515625" hidden="1" customWidth="1"/>
    <col min="8" max="8" width="2.7109375" customWidth="1"/>
    <col min="9" max="9" width="9.140625" customWidth="1"/>
    <col min="10" max="10" width="11.140625" customWidth="1"/>
    <col min="11" max="11" width="9.140625" customWidth="1"/>
    <col min="12" max="12" width="10.85546875" customWidth="1"/>
    <col min="13" max="13" width="11.5703125" customWidth="1"/>
    <col min="14" max="14" width="13" customWidth="1"/>
    <col min="15" max="16" width="9.140625" hidden="1" customWidth="1"/>
    <col min="17" max="17" width="11.7109375" customWidth="1"/>
    <col min="18" max="18" width="11.28515625" customWidth="1"/>
    <col min="19" max="19" width="2.28515625" customWidth="1"/>
    <col min="20" max="21" width="9.140625" customWidth="1"/>
    <col min="27" max="27" width="10.42578125" customWidth="1"/>
    <col min="28" max="28" width="2.42578125" customWidth="1"/>
    <col min="29" max="29" width="10" customWidth="1"/>
    <col min="30" max="30" width="9.7109375" customWidth="1"/>
    <col min="31" max="31" width="2.140625" customWidth="1"/>
    <col min="32" max="33" width="10.5703125" customWidth="1"/>
    <col min="34" max="34" width="10.28515625" customWidth="1"/>
  </cols>
  <sheetData>
    <row r="1" spans="1:38" ht="18.75" x14ac:dyDescent="0.3">
      <c r="A1" s="1" t="s">
        <v>0</v>
      </c>
      <c r="B1" s="1"/>
      <c r="C1" s="1"/>
      <c r="D1" s="1"/>
    </row>
    <row r="2" spans="1:38" ht="18.75" x14ac:dyDescent="0.3">
      <c r="A2" s="1" t="s">
        <v>1</v>
      </c>
      <c r="B2" s="1"/>
      <c r="C2" s="1" t="s">
        <v>133</v>
      </c>
      <c r="D2" s="1"/>
    </row>
    <row r="3" spans="1:38" ht="18.75" x14ac:dyDescent="0.3">
      <c r="A3" s="1"/>
      <c r="B3" s="1"/>
      <c r="C3" s="1"/>
      <c r="D3" s="1"/>
    </row>
    <row r="4" spans="1:38" ht="18.75" x14ac:dyDescent="0.3">
      <c r="A4" s="1" t="s">
        <v>2</v>
      </c>
      <c r="B4" s="1"/>
      <c r="C4" s="1"/>
      <c r="D4" s="1"/>
      <c r="I4" s="75" t="s">
        <v>34</v>
      </c>
      <c r="J4" s="76"/>
      <c r="K4" s="76"/>
      <c r="L4" s="76"/>
      <c r="M4" s="76"/>
      <c r="N4" s="76"/>
      <c r="O4" s="76"/>
      <c r="P4" s="76"/>
      <c r="Q4" s="76"/>
      <c r="R4" s="77"/>
      <c r="T4" s="75" t="s">
        <v>35</v>
      </c>
      <c r="U4" s="76"/>
      <c r="V4" s="76"/>
      <c r="W4" s="76"/>
      <c r="X4" s="76"/>
      <c r="Y4" s="76"/>
      <c r="Z4" s="76"/>
      <c r="AA4" s="77"/>
    </row>
    <row r="5" spans="1:38" ht="18.75" x14ac:dyDescent="0.3">
      <c r="A5" s="2"/>
      <c r="B5" s="2"/>
      <c r="C5" s="2"/>
      <c r="D5" s="3"/>
      <c r="E5" s="3"/>
      <c r="F5" s="4"/>
      <c r="G5" s="4"/>
      <c r="H5" s="12"/>
      <c r="I5" s="71" t="s">
        <v>25</v>
      </c>
      <c r="J5" s="71"/>
      <c r="K5" s="71"/>
      <c r="L5" s="37" t="s">
        <v>124</v>
      </c>
      <c r="M5" s="72" t="s">
        <v>16</v>
      </c>
      <c r="N5" s="73"/>
      <c r="O5" s="73"/>
      <c r="P5" s="74"/>
      <c r="Q5" s="5" t="s">
        <v>21</v>
      </c>
      <c r="R5" s="3"/>
      <c r="S5" s="12"/>
      <c r="T5" s="78" t="s">
        <v>24</v>
      </c>
      <c r="U5" s="79"/>
      <c r="V5" s="79"/>
      <c r="W5" s="79"/>
      <c r="X5" s="79"/>
      <c r="Y5" s="79"/>
      <c r="Z5" s="79"/>
      <c r="AA5" s="80"/>
      <c r="AB5" s="12"/>
      <c r="AC5" s="5" t="s">
        <v>30</v>
      </c>
      <c r="AD5" s="5" t="s">
        <v>22</v>
      </c>
      <c r="AE5" s="21"/>
      <c r="AF5" s="3"/>
      <c r="AG5" s="3"/>
      <c r="AH5" s="3"/>
    </row>
    <row r="6" spans="1:38" ht="15.75" x14ac:dyDescent="0.25">
      <c r="A6" s="6" t="s">
        <v>3</v>
      </c>
      <c r="B6" s="6"/>
      <c r="C6" s="6" t="s">
        <v>112</v>
      </c>
      <c r="D6" s="7" t="s">
        <v>5</v>
      </c>
      <c r="E6" s="7" t="s">
        <v>5</v>
      </c>
      <c r="F6" s="7" t="s">
        <v>8</v>
      </c>
      <c r="G6" s="7" t="s">
        <v>122</v>
      </c>
      <c r="H6" s="13"/>
      <c r="I6" s="7" t="s">
        <v>11</v>
      </c>
      <c r="J6" s="7" t="s">
        <v>12</v>
      </c>
      <c r="K6" s="7" t="s">
        <v>13</v>
      </c>
      <c r="L6" s="7" t="s">
        <v>10</v>
      </c>
      <c r="M6" s="7" t="s">
        <v>18</v>
      </c>
      <c r="N6" s="7" t="s">
        <v>19</v>
      </c>
      <c r="O6" s="7" t="s">
        <v>17</v>
      </c>
      <c r="P6" s="7" t="s">
        <v>20</v>
      </c>
      <c r="Q6" s="7" t="s">
        <v>9</v>
      </c>
      <c r="R6" s="8" t="s">
        <v>22</v>
      </c>
      <c r="S6" s="17"/>
      <c r="T6" s="8" t="s">
        <v>10</v>
      </c>
      <c r="U6" s="8" t="s">
        <v>12</v>
      </c>
      <c r="V6" s="8" t="s">
        <v>26</v>
      </c>
      <c r="W6" s="8" t="s">
        <v>28</v>
      </c>
      <c r="X6" s="8" t="s">
        <v>42</v>
      </c>
      <c r="Y6" s="8" t="s">
        <v>18</v>
      </c>
      <c r="Z6" s="8" t="s">
        <v>17</v>
      </c>
      <c r="AA6" s="8" t="s">
        <v>22</v>
      </c>
      <c r="AB6" s="19"/>
      <c r="AC6" s="8" t="s">
        <v>127</v>
      </c>
      <c r="AD6" s="8" t="s">
        <v>32</v>
      </c>
      <c r="AE6" s="19"/>
      <c r="AF6" s="8" t="s">
        <v>121</v>
      </c>
      <c r="AG6" s="8" t="s">
        <v>119</v>
      </c>
      <c r="AH6" s="8" t="s">
        <v>53</v>
      </c>
    </row>
    <row r="7" spans="1:38" ht="15.75" x14ac:dyDescent="0.25">
      <c r="A7" s="9" t="s">
        <v>4</v>
      </c>
      <c r="B7" s="9" t="s">
        <v>33</v>
      </c>
      <c r="C7" s="9"/>
      <c r="D7" s="10" t="s">
        <v>6</v>
      </c>
      <c r="E7" s="10" t="s">
        <v>7</v>
      </c>
      <c r="F7" s="10" t="s">
        <v>5</v>
      </c>
      <c r="G7" s="10" t="s">
        <v>123</v>
      </c>
      <c r="H7" s="14"/>
      <c r="I7" s="10" t="s">
        <v>14</v>
      </c>
      <c r="J7" s="10" t="s">
        <v>15</v>
      </c>
      <c r="K7" s="10" t="s">
        <v>14</v>
      </c>
      <c r="L7" s="10" t="s">
        <v>109</v>
      </c>
      <c r="M7" s="9"/>
      <c r="N7" s="9"/>
      <c r="O7" s="9"/>
      <c r="P7" s="9"/>
      <c r="Q7" s="9"/>
      <c r="R7" s="11" t="s">
        <v>23</v>
      </c>
      <c r="S7" s="18"/>
      <c r="T7" s="11" t="s">
        <v>109</v>
      </c>
      <c r="U7" s="11" t="s">
        <v>15</v>
      </c>
      <c r="V7" s="11" t="s">
        <v>27</v>
      </c>
      <c r="W7" s="11"/>
      <c r="X7" s="11" t="s">
        <v>29</v>
      </c>
      <c r="Y7" s="11" t="s">
        <v>118</v>
      </c>
      <c r="Z7" s="11" t="s">
        <v>118</v>
      </c>
      <c r="AA7" s="11" t="s">
        <v>38</v>
      </c>
      <c r="AB7" s="20"/>
      <c r="AC7" s="11" t="s">
        <v>9</v>
      </c>
      <c r="AD7" s="11" t="s">
        <v>120</v>
      </c>
      <c r="AE7" s="20"/>
      <c r="AF7" s="11"/>
      <c r="AG7" s="11"/>
      <c r="AH7" s="11"/>
    </row>
    <row r="8" spans="1:38" ht="25.5" customHeight="1" x14ac:dyDescent="0.25">
      <c r="A8" s="13" t="s">
        <v>54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</row>
    <row r="9" spans="1:38" ht="24.95" customHeight="1" x14ac:dyDescent="0.25">
      <c r="A9" s="24">
        <v>505</v>
      </c>
      <c r="B9" s="25" t="s">
        <v>46</v>
      </c>
      <c r="C9" s="25" t="s">
        <v>114</v>
      </c>
      <c r="D9" s="42">
        <v>0.2986111111111111</v>
      </c>
      <c r="E9" s="42">
        <v>0.29722222222222222</v>
      </c>
      <c r="F9" s="49">
        <v>0.99444444444444446</v>
      </c>
      <c r="G9" s="54">
        <f>23*60+52</f>
        <v>1432</v>
      </c>
      <c r="H9" s="22"/>
      <c r="I9" s="26">
        <v>0</v>
      </c>
      <c r="J9" s="26">
        <v>0</v>
      </c>
      <c r="K9" s="26">
        <v>0</v>
      </c>
      <c r="L9" s="26"/>
      <c r="M9" s="26"/>
      <c r="N9" s="26"/>
      <c r="O9" s="26"/>
      <c r="P9" s="26"/>
      <c r="Q9" s="26"/>
      <c r="R9" s="26">
        <f>SUM(I9:Q9)</f>
        <v>0</v>
      </c>
      <c r="S9" s="22"/>
      <c r="T9" s="26">
        <v>60</v>
      </c>
      <c r="U9" s="26">
        <v>60</v>
      </c>
      <c r="V9" s="26">
        <v>120</v>
      </c>
      <c r="W9" s="26">
        <v>100</v>
      </c>
      <c r="X9" s="26">
        <v>53</v>
      </c>
      <c r="Y9" s="26">
        <v>31</v>
      </c>
      <c r="Z9" s="26">
        <v>15</v>
      </c>
      <c r="AA9" s="26">
        <f>SUM(T9:Z9)</f>
        <v>439</v>
      </c>
      <c r="AB9" s="22"/>
      <c r="AC9" s="45">
        <f>AA9-R9</f>
        <v>439</v>
      </c>
      <c r="AD9" s="57">
        <f>G9-AC9</f>
        <v>993</v>
      </c>
      <c r="AE9" s="22"/>
      <c r="AF9" s="26">
        <f>ROUNDDOWN(AD9/60,0.1)</f>
        <v>16</v>
      </c>
      <c r="AG9" s="57">
        <f>AD9-AF9*60</f>
        <v>33</v>
      </c>
      <c r="AH9" s="26">
        <v>1</v>
      </c>
      <c r="AI9" s="43"/>
      <c r="AJ9" s="43"/>
      <c r="AK9" s="43"/>
      <c r="AL9" s="43"/>
    </row>
    <row r="10" spans="1:38" ht="24.95" customHeight="1" x14ac:dyDescent="0.25">
      <c r="A10" s="24">
        <v>502</v>
      </c>
      <c r="B10" s="25" t="s">
        <v>44</v>
      </c>
      <c r="C10" s="25" t="s">
        <v>113</v>
      </c>
      <c r="D10" s="42">
        <v>0.2986111111111111</v>
      </c>
      <c r="E10" s="58">
        <v>0.39583333333333331</v>
      </c>
      <c r="F10" s="49">
        <v>1.0972222222222223</v>
      </c>
      <c r="G10" s="54">
        <f>26*60+20</f>
        <v>1580</v>
      </c>
      <c r="H10" s="22"/>
      <c r="I10" s="26">
        <v>0</v>
      </c>
      <c r="J10" s="26">
        <v>0</v>
      </c>
      <c r="K10" s="26">
        <v>120</v>
      </c>
      <c r="L10" s="26"/>
      <c r="M10" s="26"/>
      <c r="N10" s="26"/>
      <c r="O10" s="26"/>
      <c r="P10" s="26"/>
      <c r="Q10" s="26"/>
      <c r="R10" s="26">
        <f>SUM(I10:Q10)</f>
        <v>120</v>
      </c>
      <c r="S10" s="22"/>
      <c r="T10" s="26">
        <v>140</v>
      </c>
      <c r="U10" s="26">
        <v>150</v>
      </c>
      <c r="V10" s="26">
        <v>120</v>
      </c>
      <c r="W10" s="26">
        <v>100</v>
      </c>
      <c r="X10" s="26">
        <v>30</v>
      </c>
      <c r="Y10" s="26">
        <v>22</v>
      </c>
      <c r="Z10" s="26">
        <v>0</v>
      </c>
      <c r="AA10" s="26">
        <f>SUM(T10:Z10)</f>
        <v>562</v>
      </c>
      <c r="AB10" s="22"/>
      <c r="AC10" s="45">
        <f>AA10-R10</f>
        <v>442</v>
      </c>
      <c r="AD10" s="57">
        <f>G10-AC10</f>
        <v>1138</v>
      </c>
      <c r="AE10" s="22"/>
      <c r="AF10" s="26">
        <f>ROUNDDOWN(AD10/60,0.1)</f>
        <v>18</v>
      </c>
      <c r="AG10" s="57">
        <f>AD10-AF10*60</f>
        <v>58</v>
      </c>
      <c r="AH10" s="26">
        <v>2</v>
      </c>
      <c r="AI10" s="43"/>
      <c r="AJ10" s="43"/>
      <c r="AK10" s="43"/>
      <c r="AL10" s="43"/>
    </row>
    <row r="11" spans="1:38" ht="24.95" customHeight="1" x14ac:dyDescent="0.25">
      <c r="A11" s="24">
        <v>503</v>
      </c>
      <c r="B11" s="25" t="s">
        <v>45</v>
      </c>
      <c r="C11" s="25" t="s">
        <v>116</v>
      </c>
      <c r="D11" s="42">
        <v>0.2986111111111111</v>
      </c>
      <c r="E11" s="26"/>
      <c r="F11" s="49"/>
      <c r="G11" s="54"/>
      <c r="H11" s="22"/>
      <c r="I11" s="26">
        <v>0</v>
      </c>
      <c r="J11" s="26">
        <v>0</v>
      </c>
      <c r="K11" s="26">
        <v>120</v>
      </c>
      <c r="L11" s="26"/>
      <c r="M11" s="26"/>
      <c r="N11" s="26"/>
      <c r="O11" s="26"/>
      <c r="P11" s="26"/>
      <c r="Q11" s="26"/>
      <c r="R11" s="26">
        <f>SUM(I11:Q11)</f>
        <v>120</v>
      </c>
      <c r="S11" s="22"/>
      <c r="T11" s="26">
        <v>100</v>
      </c>
      <c r="U11" s="26">
        <v>0</v>
      </c>
      <c r="V11" s="26">
        <v>120</v>
      </c>
      <c r="W11" s="26">
        <v>0</v>
      </c>
      <c r="X11" s="26">
        <v>39</v>
      </c>
      <c r="Y11" s="26">
        <v>22</v>
      </c>
      <c r="Z11" s="26">
        <v>2</v>
      </c>
      <c r="AA11" s="26">
        <f>SUM(T11:Z11)</f>
        <v>283</v>
      </c>
      <c r="AB11" s="22"/>
      <c r="AC11" s="45">
        <f>AA11-R11</f>
        <v>163</v>
      </c>
      <c r="AD11" s="57">
        <f>G11-AC11</f>
        <v>-163</v>
      </c>
      <c r="AE11" s="22"/>
      <c r="AF11" s="26">
        <f>ROUNDDOWN(AD11/60,0.1)</f>
        <v>-2</v>
      </c>
      <c r="AG11" s="57">
        <f>AD11-AF11*60</f>
        <v>-43</v>
      </c>
      <c r="AH11" s="26">
        <v>3</v>
      </c>
      <c r="AI11" s="43"/>
      <c r="AJ11" s="43"/>
      <c r="AK11" s="43"/>
      <c r="AL11" s="43"/>
    </row>
    <row r="12" spans="1:38" ht="24.95" customHeight="1" x14ac:dyDescent="0.25">
      <c r="A12" s="24">
        <v>507</v>
      </c>
      <c r="B12" s="25" t="s">
        <v>47</v>
      </c>
      <c r="C12" s="25" t="s">
        <v>116</v>
      </c>
      <c r="D12" s="42">
        <v>0.2986111111111111</v>
      </c>
      <c r="E12" s="26"/>
      <c r="F12" s="49"/>
      <c r="G12" s="54"/>
      <c r="H12" s="22"/>
      <c r="I12" s="26">
        <v>0</v>
      </c>
      <c r="J12" s="26">
        <v>60</v>
      </c>
      <c r="K12" s="26">
        <v>120</v>
      </c>
      <c r="L12" s="26"/>
      <c r="M12" s="26"/>
      <c r="N12" s="26"/>
      <c r="O12" s="26"/>
      <c r="P12" s="26"/>
      <c r="Q12" s="26">
        <v>120</v>
      </c>
      <c r="R12" s="26">
        <f>SUM(I12:Q12)</f>
        <v>300</v>
      </c>
      <c r="S12" s="22"/>
      <c r="T12" s="26">
        <v>120</v>
      </c>
      <c r="U12" s="26">
        <v>0</v>
      </c>
      <c r="V12" s="26">
        <v>120</v>
      </c>
      <c r="W12" s="26">
        <v>0</v>
      </c>
      <c r="X12" s="26">
        <v>29</v>
      </c>
      <c r="Y12" s="26">
        <v>0</v>
      </c>
      <c r="Z12" s="26">
        <v>1</v>
      </c>
      <c r="AA12" s="26">
        <f>SUM(T12:Z12)</f>
        <v>270</v>
      </c>
      <c r="AB12" s="22"/>
      <c r="AC12" s="45">
        <f>AA12-R12</f>
        <v>-30</v>
      </c>
      <c r="AD12" s="57">
        <f>G12-AC12</f>
        <v>30</v>
      </c>
      <c r="AE12" s="22"/>
      <c r="AF12" s="26">
        <f>ROUNDDOWN(AD12/60,0.1)</f>
        <v>0</v>
      </c>
      <c r="AG12" s="57">
        <f>AD12-AF12*60</f>
        <v>30</v>
      </c>
      <c r="AH12" s="26">
        <v>4</v>
      </c>
      <c r="AI12" s="43"/>
      <c r="AJ12" s="43"/>
      <c r="AK12" s="43"/>
      <c r="AL12" s="43"/>
    </row>
    <row r="13" spans="1:38" ht="24.95" customHeight="1" x14ac:dyDescent="0.25">
      <c r="A13" s="24">
        <v>500</v>
      </c>
      <c r="B13" s="25" t="s">
        <v>43</v>
      </c>
      <c r="C13" s="25" t="s">
        <v>115</v>
      </c>
      <c r="D13" s="42">
        <v>0.2986111111111111</v>
      </c>
      <c r="E13" s="44"/>
      <c r="F13" s="48"/>
      <c r="G13" s="53"/>
      <c r="H13" s="22"/>
      <c r="I13" s="26">
        <v>0</v>
      </c>
      <c r="J13" s="26">
        <v>60</v>
      </c>
      <c r="K13" s="22"/>
      <c r="L13" s="26"/>
      <c r="M13" s="26">
        <v>60</v>
      </c>
      <c r="N13" s="26">
        <v>60</v>
      </c>
      <c r="O13" s="26"/>
      <c r="P13" s="26"/>
      <c r="Q13" s="26"/>
      <c r="R13" s="26">
        <f>SUM(I13:Q13)</f>
        <v>180</v>
      </c>
      <c r="S13" s="22"/>
      <c r="T13" s="26">
        <v>60</v>
      </c>
      <c r="U13" s="26">
        <v>0</v>
      </c>
      <c r="V13" s="26"/>
      <c r="W13" s="26">
        <v>0</v>
      </c>
      <c r="X13" s="26">
        <v>35</v>
      </c>
      <c r="Y13" s="26">
        <v>0</v>
      </c>
      <c r="Z13" s="26">
        <v>0</v>
      </c>
      <c r="AA13" s="26">
        <f>SUM(T13:Z13)</f>
        <v>95</v>
      </c>
      <c r="AB13" s="22"/>
      <c r="AC13" s="45">
        <f>AA13-R13</f>
        <v>-85</v>
      </c>
      <c r="AD13" s="57">
        <f>G13-AC13</f>
        <v>85</v>
      </c>
      <c r="AE13" s="22"/>
      <c r="AF13" s="26">
        <f>ROUNDDOWN(AD13/60,0.1)</f>
        <v>1</v>
      </c>
      <c r="AG13" s="57">
        <f>AD13-AF13*60</f>
        <v>25</v>
      </c>
      <c r="AH13" s="26">
        <v>5</v>
      </c>
      <c r="AI13" s="43"/>
      <c r="AJ13" s="43"/>
      <c r="AK13" s="43"/>
      <c r="AL13" s="43"/>
    </row>
    <row r="14" spans="1:38" ht="24.95" customHeight="1" x14ac:dyDescent="0.25">
      <c r="A14" s="31" t="s">
        <v>67</v>
      </c>
      <c r="B14" s="23"/>
      <c r="C14" s="23"/>
      <c r="D14" s="23"/>
      <c r="E14" s="22"/>
      <c r="F14" s="50"/>
      <c r="G14" s="55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46"/>
      <c r="AD14" s="22"/>
      <c r="AE14" s="22"/>
      <c r="AF14" s="22"/>
      <c r="AG14" s="22"/>
      <c r="AH14" s="22"/>
      <c r="AI14" s="43"/>
      <c r="AJ14" s="43"/>
      <c r="AK14" s="43"/>
      <c r="AL14" s="43"/>
    </row>
    <row r="15" spans="1:38" ht="24.95" customHeight="1" x14ac:dyDescent="0.25">
      <c r="A15" s="24">
        <v>454</v>
      </c>
      <c r="B15" s="25" t="s">
        <v>50</v>
      </c>
      <c r="C15" s="25" t="s">
        <v>114</v>
      </c>
      <c r="D15" s="42">
        <v>0.2986111111111111</v>
      </c>
      <c r="E15" s="42">
        <v>9.1666666666666674E-2</v>
      </c>
      <c r="F15" s="49">
        <v>0.79305555555555562</v>
      </c>
      <c r="G15" s="54">
        <f>19*60+2</f>
        <v>1142</v>
      </c>
      <c r="H15" s="22"/>
      <c r="I15" s="26">
        <v>0</v>
      </c>
      <c r="J15" s="26">
        <v>0</v>
      </c>
      <c r="K15" s="26">
        <v>0</v>
      </c>
      <c r="L15" s="26"/>
      <c r="M15" s="26"/>
      <c r="N15" s="26"/>
      <c r="O15" s="26"/>
      <c r="P15" s="26"/>
      <c r="Q15" s="26"/>
      <c r="R15" s="26">
        <f>SUM(I15:Q15)</f>
        <v>0</v>
      </c>
      <c r="S15" s="22"/>
      <c r="T15" s="26">
        <v>140</v>
      </c>
      <c r="U15" s="26">
        <v>150</v>
      </c>
      <c r="V15" s="26">
        <v>120</v>
      </c>
      <c r="W15" s="26">
        <v>100</v>
      </c>
      <c r="X15" s="26">
        <v>60</v>
      </c>
      <c r="Y15" s="26">
        <v>7</v>
      </c>
      <c r="Z15" s="26">
        <v>0</v>
      </c>
      <c r="AA15" s="26">
        <f>SUM(T15:Z15)</f>
        <v>577</v>
      </c>
      <c r="AB15" s="22"/>
      <c r="AC15" s="45">
        <f>AA15-R15</f>
        <v>577</v>
      </c>
      <c r="AD15" s="57">
        <f>G15-AC15</f>
        <v>565</v>
      </c>
      <c r="AE15" s="22"/>
      <c r="AF15" s="26">
        <f>ROUNDDOWN(AD15/60,0.1)</f>
        <v>9</v>
      </c>
      <c r="AG15" s="57">
        <f>AD15-AF15*60</f>
        <v>25</v>
      </c>
      <c r="AH15" s="26">
        <v>1</v>
      </c>
      <c r="AI15" s="43"/>
      <c r="AJ15" s="43"/>
      <c r="AK15" s="43"/>
      <c r="AL15" s="43"/>
    </row>
    <row r="16" spans="1:38" ht="24.95" customHeight="1" x14ac:dyDescent="0.25">
      <c r="A16" s="24">
        <v>451</v>
      </c>
      <c r="B16" s="25" t="s">
        <v>48</v>
      </c>
      <c r="C16" s="25" t="s">
        <v>116</v>
      </c>
      <c r="D16" s="42">
        <v>0.2986111111111111</v>
      </c>
      <c r="E16" s="42">
        <v>0.33888888888888885</v>
      </c>
      <c r="F16" s="49">
        <v>1.0402777777777776</v>
      </c>
      <c r="G16" s="54">
        <f>24*60+58</f>
        <v>1498</v>
      </c>
      <c r="H16" s="22"/>
      <c r="I16" s="26">
        <v>0</v>
      </c>
      <c r="J16" s="26">
        <v>0</v>
      </c>
      <c r="K16" s="26">
        <v>120</v>
      </c>
      <c r="L16" s="26"/>
      <c r="M16" s="26"/>
      <c r="N16" s="26"/>
      <c r="O16" s="26"/>
      <c r="P16" s="26"/>
      <c r="Q16" s="26"/>
      <c r="R16" s="26">
        <f>SUM(I16:Q16)</f>
        <v>120</v>
      </c>
      <c r="S16" s="22"/>
      <c r="T16" s="26">
        <v>120</v>
      </c>
      <c r="U16" s="26">
        <v>60</v>
      </c>
      <c r="V16" s="26">
        <v>120</v>
      </c>
      <c r="W16" s="26">
        <v>100</v>
      </c>
      <c r="X16" s="26">
        <v>29</v>
      </c>
      <c r="Y16" s="26">
        <v>39</v>
      </c>
      <c r="Z16" s="26">
        <v>12</v>
      </c>
      <c r="AA16" s="26">
        <f>SUM(T16:Z16)</f>
        <v>480</v>
      </c>
      <c r="AB16" s="22"/>
      <c r="AC16" s="45">
        <f>AA16-R16</f>
        <v>360</v>
      </c>
      <c r="AD16" s="57">
        <f>G16-AC16</f>
        <v>1138</v>
      </c>
      <c r="AE16" s="22"/>
      <c r="AF16" s="26">
        <f>ROUNDDOWN(AD16/60,0.1)</f>
        <v>18</v>
      </c>
      <c r="AG16" s="57">
        <f>AD16-AF16*60</f>
        <v>58</v>
      </c>
      <c r="AH16" s="26">
        <v>2</v>
      </c>
      <c r="AI16" s="43"/>
      <c r="AJ16" s="43"/>
      <c r="AK16" s="43"/>
      <c r="AL16" s="43"/>
    </row>
    <row r="17" spans="1:38" ht="24.95" customHeight="1" x14ac:dyDescent="0.25">
      <c r="A17" s="24">
        <v>452</v>
      </c>
      <c r="B17" s="25" t="s">
        <v>49</v>
      </c>
      <c r="C17" s="25" t="s">
        <v>116</v>
      </c>
      <c r="D17" s="42">
        <v>0.2986111111111111</v>
      </c>
      <c r="E17" s="42">
        <v>0.3430555555555555</v>
      </c>
      <c r="F17" s="49">
        <v>1.0444444444444445</v>
      </c>
      <c r="G17" s="54">
        <f>25*60+4</f>
        <v>1504</v>
      </c>
      <c r="H17" s="22"/>
      <c r="I17" s="26">
        <v>0</v>
      </c>
      <c r="J17" s="26">
        <v>0</v>
      </c>
      <c r="K17" s="26">
        <v>120</v>
      </c>
      <c r="L17" s="26"/>
      <c r="M17" s="26"/>
      <c r="N17" s="26"/>
      <c r="O17" s="26"/>
      <c r="P17" s="26"/>
      <c r="Q17" s="26"/>
      <c r="R17" s="26">
        <f>SUM(I17:Q17)</f>
        <v>120</v>
      </c>
      <c r="S17" s="22"/>
      <c r="T17" s="26">
        <v>40</v>
      </c>
      <c r="U17" s="26">
        <v>30</v>
      </c>
      <c r="V17" s="26">
        <v>120</v>
      </c>
      <c r="W17" s="26">
        <v>40</v>
      </c>
      <c r="X17" s="26">
        <v>25</v>
      </c>
      <c r="Y17" s="26">
        <v>0</v>
      </c>
      <c r="Z17" s="26">
        <v>12</v>
      </c>
      <c r="AA17" s="26">
        <f>SUM(T17:Z17)</f>
        <v>267</v>
      </c>
      <c r="AB17" s="22"/>
      <c r="AC17" s="45">
        <f>AA17-R17</f>
        <v>147</v>
      </c>
      <c r="AD17" s="57">
        <f>G17-AC17</f>
        <v>1357</v>
      </c>
      <c r="AE17" s="22"/>
      <c r="AF17" s="26">
        <f>ROUNDDOWN(AD17/60,0.1)</f>
        <v>22</v>
      </c>
      <c r="AG17" s="57">
        <f>AD17-AF17*60</f>
        <v>37</v>
      </c>
      <c r="AH17" s="26">
        <v>3</v>
      </c>
      <c r="AI17" s="43"/>
      <c r="AJ17" s="43"/>
      <c r="AK17" s="43"/>
      <c r="AL17" s="43"/>
    </row>
    <row r="18" spans="1:38" ht="24.95" customHeight="1" x14ac:dyDescent="0.25">
      <c r="A18" s="24">
        <v>456</v>
      </c>
      <c r="B18" s="25" t="s">
        <v>51</v>
      </c>
      <c r="C18" s="25" t="s">
        <v>116</v>
      </c>
      <c r="D18" s="42">
        <v>0.2986111111111111</v>
      </c>
      <c r="E18" s="26"/>
      <c r="F18" s="49"/>
      <c r="G18" s="54"/>
      <c r="H18" s="22"/>
      <c r="I18" s="26">
        <v>0</v>
      </c>
      <c r="J18" s="26">
        <v>180</v>
      </c>
      <c r="K18" s="26">
        <v>120</v>
      </c>
      <c r="L18" s="26"/>
      <c r="M18" s="26"/>
      <c r="N18" s="26"/>
      <c r="O18" s="26"/>
      <c r="P18" s="26"/>
      <c r="Q18" s="26"/>
      <c r="R18" s="26">
        <f>SUM(I18:Q18)</f>
        <v>300</v>
      </c>
      <c r="S18" s="22"/>
      <c r="T18" s="26">
        <v>120</v>
      </c>
      <c r="U18" s="26">
        <v>90</v>
      </c>
      <c r="V18" s="26">
        <v>120</v>
      </c>
      <c r="W18" s="26">
        <v>75</v>
      </c>
      <c r="X18" s="26">
        <v>53</v>
      </c>
      <c r="Y18" s="26">
        <v>14</v>
      </c>
      <c r="Z18" s="26">
        <v>0</v>
      </c>
      <c r="AA18" s="26">
        <f>SUM(T18:Z18)</f>
        <v>472</v>
      </c>
      <c r="AB18" s="22"/>
      <c r="AC18" s="45">
        <f>AA18-R18</f>
        <v>172</v>
      </c>
      <c r="AD18" s="57">
        <f>G18-AC18</f>
        <v>-172</v>
      </c>
      <c r="AE18" s="22"/>
      <c r="AF18" s="26">
        <f>ROUNDDOWN(AD18/60,0.1)</f>
        <v>-2</v>
      </c>
      <c r="AG18" s="57">
        <f>AD18-AF18*60</f>
        <v>-52</v>
      </c>
      <c r="AH18" s="26">
        <v>4</v>
      </c>
      <c r="AI18" s="43"/>
      <c r="AJ18" s="43"/>
      <c r="AK18" s="43"/>
      <c r="AL18" s="43"/>
    </row>
    <row r="19" spans="1:38" ht="24.95" customHeight="1" x14ac:dyDescent="0.25">
      <c r="A19" s="31" t="s">
        <v>76</v>
      </c>
      <c r="B19" s="23"/>
      <c r="C19" s="23"/>
      <c r="D19" s="23"/>
      <c r="E19" s="22"/>
      <c r="F19" s="50"/>
      <c r="G19" s="55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46"/>
      <c r="AD19" s="22"/>
      <c r="AE19" s="22"/>
      <c r="AF19" s="22"/>
      <c r="AG19" s="22"/>
      <c r="AH19" s="22"/>
      <c r="AI19" s="43"/>
      <c r="AJ19" s="43"/>
      <c r="AK19" s="43"/>
      <c r="AL19" s="43"/>
    </row>
    <row r="20" spans="1:38" ht="24.95" customHeight="1" x14ac:dyDescent="0.25">
      <c r="A20" s="24">
        <v>450</v>
      </c>
      <c r="B20" s="25" t="s">
        <v>52</v>
      </c>
      <c r="C20" s="25"/>
      <c r="D20" s="42">
        <v>0.2986111111111111</v>
      </c>
      <c r="E20" s="42">
        <v>0.28263888888888888</v>
      </c>
      <c r="F20" s="49">
        <v>0.98402777777777783</v>
      </c>
      <c r="G20" s="54">
        <f>23*60+37</f>
        <v>1417</v>
      </c>
      <c r="H20" s="22"/>
      <c r="I20" s="26">
        <v>0</v>
      </c>
      <c r="J20" s="26">
        <v>60</v>
      </c>
      <c r="K20" s="26">
        <v>120</v>
      </c>
      <c r="L20" s="26"/>
      <c r="M20" s="26"/>
      <c r="N20" s="26"/>
      <c r="O20" s="26"/>
      <c r="P20" s="26"/>
      <c r="Q20" s="26"/>
      <c r="R20" s="26">
        <f>SUM(I20:Q20)</f>
        <v>180</v>
      </c>
      <c r="S20" s="22"/>
      <c r="T20" s="26">
        <v>120</v>
      </c>
      <c r="U20" s="26">
        <v>150</v>
      </c>
      <c r="V20" s="26">
        <v>60</v>
      </c>
      <c r="W20" s="26">
        <v>0</v>
      </c>
      <c r="X20" s="26">
        <v>23</v>
      </c>
      <c r="Y20" s="26">
        <v>15</v>
      </c>
      <c r="Z20" s="26">
        <v>0</v>
      </c>
      <c r="AA20" s="26">
        <f>SUM(T20:Z20)</f>
        <v>368</v>
      </c>
      <c r="AB20" s="22"/>
      <c r="AC20" s="45">
        <f>AA20-R20</f>
        <v>188</v>
      </c>
      <c r="AD20" s="57">
        <f t="shared" ref="AD20:AD21" si="0">G20-AC20</f>
        <v>1229</v>
      </c>
      <c r="AE20" s="22"/>
      <c r="AF20" s="26">
        <f t="shared" ref="AF20:AF21" si="1">ROUNDDOWN(AD20/60,0.1)</f>
        <v>20</v>
      </c>
      <c r="AG20" s="57">
        <f t="shared" ref="AG20:AG21" si="2">AD20-AF20*60</f>
        <v>29</v>
      </c>
      <c r="AH20" s="26">
        <v>1</v>
      </c>
      <c r="AI20" s="43"/>
      <c r="AJ20" s="43"/>
      <c r="AK20" s="43"/>
      <c r="AL20" s="43"/>
    </row>
    <row r="21" spans="1:38" ht="27.75" customHeight="1" x14ac:dyDescent="0.25">
      <c r="A21" s="24">
        <v>310</v>
      </c>
      <c r="B21" s="41">
        <v>1.5</v>
      </c>
      <c r="C21" s="41" t="s">
        <v>117</v>
      </c>
      <c r="D21" s="42">
        <v>0.2986111111111111</v>
      </c>
      <c r="E21" s="26"/>
      <c r="F21" s="49"/>
      <c r="G21" s="54"/>
      <c r="H21" s="22"/>
      <c r="I21" s="26">
        <v>0</v>
      </c>
      <c r="J21" s="26">
        <v>120</v>
      </c>
      <c r="K21" s="22"/>
      <c r="L21" s="26"/>
      <c r="M21" s="26"/>
      <c r="N21" s="26"/>
      <c r="O21" s="26"/>
      <c r="P21" s="26"/>
      <c r="Q21" s="26"/>
      <c r="R21" s="26">
        <f>SUM(I21:Q21)</f>
        <v>120</v>
      </c>
      <c r="S21" s="22"/>
      <c r="T21" s="26">
        <v>100</v>
      </c>
      <c r="U21" s="26">
        <v>60</v>
      </c>
      <c r="V21" s="26">
        <v>60</v>
      </c>
      <c r="W21" s="26">
        <v>0</v>
      </c>
      <c r="X21" s="26">
        <v>23</v>
      </c>
      <c r="Y21" s="26">
        <v>32</v>
      </c>
      <c r="Z21" s="26">
        <v>0</v>
      </c>
      <c r="AA21" s="26">
        <f>SUM(T21:Z21)</f>
        <v>275</v>
      </c>
      <c r="AB21" s="22"/>
      <c r="AC21" s="45">
        <f>AA21-R21</f>
        <v>155</v>
      </c>
      <c r="AD21" s="57">
        <f t="shared" si="0"/>
        <v>-155</v>
      </c>
      <c r="AE21" s="22"/>
      <c r="AF21" s="26">
        <f t="shared" si="1"/>
        <v>-2</v>
      </c>
      <c r="AG21" s="57">
        <f t="shared" si="2"/>
        <v>-35</v>
      </c>
      <c r="AH21" s="26">
        <v>1</v>
      </c>
      <c r="AI21" s="43"/>
      <c r="AJ21" s="43"/>
      <c r="AK21" s="43"/>
      <c r="AL21" s="43"/>
    </row>
    <row r="22" spans="1:38" ht="15.75" x14ac:dyDescent="0.25">
      <c r="E22" s="43"/>
      <c r="F22" s="51"/>
      <c r="G22" s="56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7"/>
      <c r="AD22" s="43"/>
      <c r="AE22" s="43"/>
      <c r="AF22" s="43"/>
      <c r="AG22" s="43"/>
      <c r="AH22" s="43"/>
      <c r="AI22" s="43"/>
      <c r="AJ22" s="43"/>
      <c r="AK22" s="43"/>
      <c r="AL22" s="43"/>
    </row>
    <row r="23" spans="1:38" ht="15.75" x14ac:dyDescent="0.25">
      <c r="E23" s="43"/>
      <c r="F23" s="43"/>
      <c r="G23" s="56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7"/>
      <c r="AD23" s="43"/>
      <c r="AE23" s="43"/>
      <c r="AF23" s="43"/>
      <c r="AG23" s="43"/>
      <c r="AH23" s="43"/>
      <c r="AI23" s="43"/>
      <c r="AJ23" s="43"/>
      <c r="AK23" s="43"/>
      <c r="AL23" s="43"/>
    </row>
    <row r="24" spans="1:38" ht="15.75" x14ac:dyDescent="0.25">
      <c r="E24" s="43"/>
      <c r="F24" s="43"/>
      <c r="G24" s="56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7"/>
      <c r="AD24" s="43"/>
      <c r="AE24" s="43"/>
      <c r="AF24" s="43"/>
      <c r="AG24" s="43"/>
      <c r="AH24" s="43"/>
      <c r="AI24" s="43"/>
      <c r="AJ24" s="43"/>
      <c r="AK24" s="43"/>
      <c r="AL24" s="43"/>
    </row>
    <row r="25" spans="1:38" ht="15.75" x14ac:dyDescent="0.25">
      <c r="E25" s="43"/>
      <c r="F25" s="43"/>
      <c r="G25" s="56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7"/>
      <c r="AD25" s="43"/>
      <c r="AE25" s="43"/>
      <c r="AF25" s="43"/>
      <c r="AG25" s="43"/>
      <c r="AH25" s="43"/>
      <c r="AI25" s="43"/>
      <c r="AJ25" s="43"/>
      <c r="AK25" s="43"/>
      <c r="AL25" s="43"/>
    </row>
    <row r="26" spans="1:38" ht="15.75" x14ac:dyDescent="0.25">
      <c r="E26" s="43"/>
      <c r="F26" s="43"/>
      <c r="G26" s="56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7"/>
      <c r="AD26" s="43"/>
      <c r="AE26" s="43"/>
      <c r="AF26" s="43"/>
      <c r="AG26" s="43"/>
      <c r="AH26" s="43"/>
      <c r="AI26" s="43"/>
      <c r="AJ26" s="43"/>
      <c r="AK26" s="43"/>
      <c r="AL26" s="43"/>
    </row>
    <row r="27" spans="1:38" ht="15.75" x14ac:dyDescent="0.25">
      <c r="E27" s="43"/>
      <c r="F27" s="43"/>
      <c r="G27" s="56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7"/>
      <c r="AD27" s="43"/>
      <c r="AE27" s="43"/>
      <c r="AF27" s="43"/>
      <c r="AG27" s="43"/>
      <c r="AH27" s="43"/>
      <c r="AI27" s="43"/>
      <c r="AJ27" s="43"/>
      <c r="AK27" s="43"/>
      <c r="AL27" s="43"/>
    </row>
    <row r="28" spans="1:38" ht="15.75" x14ac:dyDescent="0.25">
      <c r="E28" s="43"/>
      <c r="F28" s="43"/>
      <c r="G28" s="56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7"/>
      <c r="AD28" s="43"/>
      <c r="AE28" s="43"/>
      <c r="AF28" s="43"/>
      <c r="AG28" s="43"/>
      <c r="AH28" s="43"/>
      <c r="AI28" s="43"/>
      <c r="AJ28" s="43"/>
      <c r="AK28" s="43"/>
      <c r="AL28" s="43"/>
    </row>
    <row r="29" spans="1:38" ht="15.75" x14ac:dyDescent="0.25">
      <c r="E29" s="43"/>
      <c r="F29" s="43"/>
      <c r="G29" s="56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7"/>
      <c r="AD29" s="43"/>
      <c r="AE29" s="43"/>
      <c r="AF29" s="43"/>
      <c r="AG29" s="43"/>
      <c r="AH29" s="43"/>
      <c r="AI29" s="43"/>
      <c r="AJ29" s="43"/>
      <c r="AK29" s="43"/>
      <c r="AL29" s="43"/>
    </row>
    <row r="30" spans="1:38" ht="15.75" x14ac:dyDescent="0.25">
      <c r="E30" s="43"/>
      <c r="F30" s="43"/>
      <c r="G30" s="56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7"/>
      <c r="AD30" s="43"/>
      <c r="AE30" s="43"/>
      <c r="AF30" s="43"/>
      <c r="AG30" s="43"/>
      <c r="AH30" s="43"/>
      <c r="AI30" s="43"/>
      <c r="AJ30" s="43"/>
      <c r="AK30" s="43"/>
      <c r="AL30" s="43"/>
    </row>
    <row r="31" spans="1:38" ht="15.75" x14ac:dyDescent="0.25">
      <c r="E31" s="43"/>
      <c r="F31" s="43"/>
      <c r="G31" s="56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7"/>
      <c r="AD31" s="43"/>
      <c r="AE31" s="43"/>
      <c r="AF31" s="43"/>
      <c r="AG31" s="43"/>
      <c r="AH31" s="43"/>
      <c r="AI31" s="43"/>
      <c r="AJ31" s="43"/>
      <c r="AK31" s="43"/>
      <c r="AL31" s="43"/>
    </row>
    <row r="32" spans="1:38" ht="15.75" x14ac:dyDescent="0.25">
      <c r="E32" s="43"/>
      <c r="F32" s="43"/>
      <c r="G32" s="56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7"/>
      <c r="AD32" s="43"/>
      <c r="AE32" s="43"/>
      <c r="AF32" s="43"/>
      <c r="AG32" s="43"/>
      <c r="AH32" s="43"/>
      <c r="AI32" s="43"/>
      <c r="AJ32" s="43"/>
      <c r="AK32" s="43"/>
      <c r="AL32" s="43"/>
    </row>
    <row r="33" spans="5:38" ht="15.75" x14ac:dyDescent="0.25">
      <c r="E33" s="43"/>
      <c r="F33" s="43"/>
      <c r="G33" s="56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</row>
    <row r="34" spans="5:38" ht="15.75" x14ac:dyDescent="0.25">
      <c r="E34" s="43"/>
      <c r="F34" s="43"/>
      <c r="G34" s="56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</row>
    <row r="35" spans="5:38" ht="15.75" x14ac:dyDescent="0.25">
      <c r="E35" s="43"/>
      <c r="F35" s="43"/>
      <c r="G35" s="56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</row>
    <row r="36" spans="5:38" ht="15.75" x14ac:dyDescent="0.25">
      <c r="E36" s="43"/>
      <c r="F36" s="43"/>
      <c r="G36" s="56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</row>
    <row r="37" spans="5:38" ht="15.75" x14ac:dyDescent="0.25">
      <c r="E37" s="43"/>
      <c r="F37" s="43"/>
      <c r="G37" s="56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</row>
    <row r="38" spans="5:38" ht="15.75" x14ac:dyDescent="0.25">
      <c r="E38" s="43"/>
      <c r="F38" s="43"/>
      <c r="G38" s="56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</row>
    <row r="39" spans="5:38" ht="15.75" x14ac:dyDescent="0.25">
      <c r="E39" s="43"/>
      <c r="F39" s="43"/>
      <c r="G39" s="56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</row>
    <row r="40" spans="5:38" ht="15.75" x14ac:dyDescent="0.25">
      <c r="E40" s="43"/>
      <c r="F40" s="43"/>
      <c r="G40" s="56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</row>
    <row r="41" spans="5:38" ht="15.75" x14ac:dyDescent="0.25">
      <c r="E41" s="43"/>
      <c r="F41" s="43"/>
      <c r="G41" s="56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</row>
    <row r="42" spans="5:38" ht="15.75" x14ac:dyDescent="0.25">
      <c r="E42" s="43"/>
      <c r="F42" s="43"/>
      <c r="G42" s="56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</row>
    <row r="43" spans="5:38" ht="15.75" x14ac:dyDescent="0.25">
      <c r="E43" s="43"/>
      <c r="F43" s="43"/>
      <c r="G43" s="56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</row>
    <row r="44" spans="5:38" ht="15.75" x14ac:dyDescent="0.25">
      <c r="E44" s="43"/>
      <c r="F44" s="43"/>
      <c r="G44" s="56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</row>
    <row r="45" spans="5:38" ht="15.75" x14ac:dyDescent="0.25">
      <c r="E45" s="43"/>
      <c r="F45" s="43"/>
      <c r="G45" s="56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</row>
    <row r="46" spans="5:38" ht="15.75" x14ac:dyDescent="0.25">
      <c r="E46" s="43"/>
      <c r="F46" s="43"/>
      <c r="G46" s="56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</row>
    <row r="47" spans="5:38" ht="15.75" x14ac:dyDescent="0.25">
      <c r="E47" s="43"/>
      <c r="F47" s="43"/>
      <c r="G47" s="56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</row>
    <row r="48" spans="5:38" ht="15.75" x14ac:dyDescent="0.25"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</row>
    <row r="49" spans="5:38" ht="15.75" x14ac:dyDescent="0.25"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</row>
    <row r="50" spans="5:38" ht="15.75" x14ac:dyDescent="0.25"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</row>
    <row r="51" spans="5:38" ht="15.75" x14ac:dyDescent="0.25"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</row>
    <row r="52" spans="5:38" ht="15.75" x14ac:dyDescent="0.25"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</row>
    <row r="53" spans="5:38" ht="15.75" x14ac:dyDescent="0.25"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</row>
    <row r="54" spans="5:38" ht="15.75" x14ac:dyDescent="0.25"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</row>
    <row r="55" spans="5:38" ht="15.75" x14ac:dyDescent="0.25"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</row>
    <row r="56" spans="5:38" ht="15.75" x14ac:dyDescent="0.25"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</row>
    <row r="57" spans="5:38" ht="15.75" x14ac:dyDescent="0.25"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</row>
    <row r="58" spans="5:38" ht="15.75" x14ac:dyDescent="0.25"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</row>
    <row r="59" spans="5:38" ht="15.75" x14ac:dyDescent="0.25"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</row>
    <row r="60" spans="5:38" ht="15.75" x14ac:dyDescent="0.25"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</row>
    <row r="61" spans="5:38" ht="15.75" x14ac:dyDescent="0.25"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</row>
    <row r="62" spans="5:38" ht="15.75" x14ac:dyDescent="0.25"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</row>
    <row r="63" spans="5:38" ht="15.75" x14ac:dyDescent="0.25"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</row>
    <row r="64" spans="5:38" ht="15.75" x14ac:dyDescent="0.25"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</row>
    <row r="65" spans="5:38" ht="15.75" x14ac:dyDescent="0.25"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</row>
    <row r="66" spans="5:38" ht="15.75" x14ac:dyDescent="0.25"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</row>
    <row r="67" spans="5:38" ht="15.75" x14ac:dyDescent="0.25"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</row>
    <row r="68" spans="5:38" ht="15.75" x14ac:dyDescent="0.25"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</row>
    <row r="69" spans="5:38" ht="15.75" x14ac:dyDescent="0.25"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</row>
    <row r="70" spans="5:38" ht="15.75" x14ac:dyDescent="0.25"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</row>
    <row r="71" spans="5:38" ht="15.75" x14ac:dyDescent="0.25"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</row>
    <row r="72" spans="5:38" ht="15.75" x14ac:dyDescent="0.25"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</row>
    <row r="73" spans="5:38" ht="15.75" x14ac:dyDescent="0.25"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</row>
    <row r="74" spans="5:38" ht="15.75" x14ac:dyDescent="0.25"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</row>
    <row r="75" spans="5:38" ht="15.75" x14ac:dyDescent="0.25"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</row>
    <row r="76" spans="5:38" ht="15.75" x14ac:dyDescent="0.25"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</row>
  </sheetData>
  <sortState ref="A9:AH13">
    <sortCondition ref="AH9:AH13"/>
  </sortState>
  <mergeCells count="5">
    <mergeCell ref="I5:K5"/>
    <mergeCell ref="M5:P5"/>
    <mergeCell ref="I4:R4"/>
    <mergeCell ref="T4:AA4"/>
    <mergeCell ref="T5:AA5"/>
  </mergeCells>
  <pageMargins left="0.7" right="0.7" top="0.75" bottom="0.75" header="0.3" footer="0.3"/>
  <pageSetup paperSize="8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topLeftCell="A4" workbookViewId="0">
      <selection activeCell="A12" sqref="A12"/>
    </sheetView>
  </sheetViews>
  <sheetFormatPr defaultRowHeight="15" x14ac:dyDescent="0.25"/>
  <cols>
    <col min="2" max="2" width="30.28515625" customWidth="1"/>
    <col min="3" max="3" width="17.5703125" customWidth="1"/>
    <col min="4" max="4" width="11.7109375" customWidth="1"/>
    <col min="5" max="6" width="11.28515625" customWidth="1"/>
    <col min="7" max="7" width="11.28515625" hidden="1" customWidth="1"/>
    <col min="8" max="8" width="2.7109375" customWidth="1"/>
    <col min="9" max="9" width="11.7109375" customWidth="1"/>
    <col min="10" max="10" width="11.85546875" customWidth="1"/>
    <col min="11" max="13" width="9.140625" customWidth="1"/>
    <col min="14" max="14" width="11.85546875" customWidth="1"/>
    <col min="15" max="15" width="12.140625" hidden="1" customWidth="1"/>
    <col min="16" max="16" width="11.7109375" hidden="1" customWidth="1"/>
    <col min="17" max="17" width="11.28515625" customWidth="1"/>
    <col min="18" max="18" width="2.28515625" customWidth="1"/>
    <col min="19" max="19" width="9.140625" customWidth="1"/>
    <col min="26" max="26" width="10.42578125" customWidth="1"/>
    <col min="27" max="27" width="2.42578125" customWidth="1"/>
    <col min="28" max="28" width="10" customWidth="1"/>
    <col min="29" max="29" width="9.7109375" customWidth="1"/>
    <col min="30" max="30" width="2.140625" customWidth="1"/>
    <col min="31" max="32" width="11.28515625" customWidth="1"/>
  </cols>
  <sheetData>
    <row r="1" spans="1:35" ht="18.75" x14ac:dyDescent="0.3">
      <c r="A1" s="1" t="s">
        <v>0</v>
      </c>
      <c r="B1" s="1"/>
      <c r="C1" s="1"/>
      <c r="D1" s="1"/>
    </row>
    <row r="2" spans="1:35" ht="18.75" x14ac:dyDescent="0.3">
      <c r="A2" s="1" t="s">
        <v>1</v>
      </c>
      <c r="B2" s="1"/>
      <c r="C2" s="1" t="s">
        <v>133</v>
      </c>
      <c r="D2" s="1"/>
    </row>
    <row r="3" spans="1:35" ht="18.75" x14ac:dyDescent="0.3">
      <c r="A3" s="1"/>
      <c r="B3" s="1"/>
      <c r="C3" s="1"/>
      <c r="D3" s="1"/>
    </row>
    <row r="4" spans="1:35" ht="18.75" x14ac:dyDescent="0.3">
      <c r="A4" s="1" t="s">
        <v>37</v>
      </c>
      <c r="B4" s="1"/>
      <c r="C4" s="1"/>
      <c r="D4" s="1"/>
      <c r="I4" s="75" t="s">
        <v>34</v>
      </c>
      <c r="J4" s="76"/>
      <c r="K4" s="76"/>
      <c r="L4" s="76"/>
      <c r="M4" s="76"/>
      <c r="N4" s="76"/>
      <c r="O4" s="76"/>
      <c r="P4" s="76"/>
      <c r="Q4" s="77"/>
      <c r="S4" s="75" t="s">
        <v>35</v>
      </c>
      <c r="T4" s="76"/>
      <c r="U4" s="76"/>
      <c r="V4" s="76"/>
      <c r="W4" s="76"/>
      <c r="X4" s="76"/>
      <c r="Y4" s="76"/>
      <c r="Z4" s="77"/>
    </row>
    <row r="5" spans="1:35" ht="18.75" x14ac:dyDescent="0.3">
      <c r="A5" s="2"/>
      <c r="B5" s="2"/>
      <c r="C5" s="2"/>
      <c r="D5" s="3"/>
      <c r="E5" s="3"/>
      <c r="F5" s="3"/>
      <c r="G5" s="4"/>
      <c r="H5" s="12"/>
      <c r="I5" s="72" t="s">
        <v>25</v>
      </c>
      <c r="J5" s="73"/>
      <c r="K5" s="74"/>
      <c r="L5" s="37" t="s">
        <v>5</v>
      </c>
      <c r="M5" s="72" t="s">
        <v>128</v>
      </c>
      <c r="N5" s="73"/>
      <c r="O5" s="73"/>
      <c r="P5" s="5" t="s">
        <v>21</v>
      </c>
      <c r="Q5" s="3"/>
      <c r="R5" s="12"/>
      <c r="S5" s="78" t="s">
        <v>24</v>
      </c>
      <c r="T5" s="79"/>
      <c r="U5" s="79"/>
      <c r="V5" s="79"/>
      <c r="W5" s="79"/>
      <c r="X5" s="79"/>
      <c r="Y5" s="79"/>
      <c r="Z5" s="80"/>
      <c r="AA5" s="12"/>
      <c r="AB5" s="40" t="s">
        <v>30</v>
      </c>
      <c r="AC5" s="40" t="s">
        <v>22</v>
      </c>
      <c r="AD5" s="21"/>
      <c r="AE5" s="3"/>
      <c r="AF5" s="3"/>
      <c r="AG5" s="3"/>
    </row>
    <row r="6" spans="1:35" ht="15.75" x14ac:dyDescent="0.25">
      <c r="A6" s="6" t="s">
        <v>3</v>
      </c>
      <c r="B6" s="6"/>
      <c r="C6" s="6" t="s">
        <v>112</v>
      </c>
      <c r="D6" s="7" t="s">
        <v>5</v>
      </c>
      <c r="E6" s="7" t="s">
        <v>5</v>
      </c>
      <c r="F6" s="7" t="s">
        <v>122</v>
      </c>
      <c r="G6" s="7" t="s">
        <v>122</v>
      </c>
      <c r="H6" s="13"/>
      <c r="I6" s="7" t="s">
        <v>11</v>
      </c>
      <c r="J6" s="7" t="s">
        <v>12</v>
      </c>
      <c r="K6" s="7" t="s">
        <v>110</v>
      </c>
      <c r="L6" s="7" t="s">
        <v>10</v>
      </c>
      <c r="M6" s="7" t="s">
        <v>18</v>
      </c>
      <c r="N6" s="7" t="s">
        <v>19</v>
      </c>
      <c r="O6" s="7" t="s">
        <v>17</v>
      </c>
      <c r="P6" s="7" t="s">
        <v>9</v>
      </c>
      <c r="Q6" s="8" t="s">
        <v>22</v>
      </c>
      <c r="R6" s="17"/>
      <c r="S6" s="8" t="s">
        <v>10</v>
      </c>
      <c r="T6" s="8" t="s">
        <v>12</v>
      </c>
      <c r="U6" s="8" t="s">
        <v>18</v>
      </c>
      <c r="V6" s="8" t="s">
        <v>28</v>
      </c>
      <c r="W6" s="8" t="s">
        <v>42</v>
      </c>
      <c r="X6" s="8" t="s">
        <v>18</v>
      </c>
      <c r="Y6" s="8" t="s">
        <v>21</v>
      </c>
      <c r="Z6" s="8" t="s">
        <v>22</v>
      </c>
      <c r="AA6" s="19"/>
      <c r="AB6" s="8" t="s">
        <v>127</v>
      </c>
      <c r="AC6" s="8" t="s">
        <v>32</v>
      </c>
      <c r="AD6" s="19"/>
      <c r="AE6" s="8" t="s">
        <v>121</v>
      </c>
      <c r="AF6" s="8" t="s">
        <v>119</v>
      </c>
      <c r="AG6" s="8" t="s">
        <v>53</v>
      </c>
    </row>
    <row r="7" spans="1:35" ht="15.75" x14ac:dyDescent="0.25">
      <c r="A7" s="9" t="s">
        <v>4</v>
      </c>
      <c r="B7" s="9" t="s">
        <v>33</v>
      </c>
      <c r="C7" s="9"/>
      <c r="D7" s="10" t="s">
        <v>6</v>
      </c>
      <c r="E7" s="10" t="s">
        <v>7</v>
      </c>
      <c r="F7" s="10" t="s">
        <v>5</v>
      </c>
      <c r="G7" s="10" t="s">
        <v>123</v>
      </c>
      <c r="H7" s="14"/>
      <c r="I7" s="10" t="s">
        <v>14</v>
      </c>
      <c r="J7" s="10" t="s">
        <v>15</v>
      </c>
      <c r="K7" s="10" t="s">
        <v>14</v>
      </c>
      <c r="L7" s="10"/>
      <c r="M7" s="9"/>
      <c r="N7" s="9"/>
      <c r="O7" s="9"/>
      <c r="P7" s="9"/>
      <c r="Q7" s="11" t="s">
        <v>23</v>
      </c>
      <c r="R7" s="18"/>
      <c r="S7" s="11" t="s">
        <v>109</v>
      </c>
      <c r="T7" s="11" t="s">
        <v>15</v>
      </c>
      <c r="U7" s="11"/>
      <c r="V7" s="11"/>
      <c r="W7" s="11" t="s">
        <v>29</v>
      </c>
      <c r="X7" s="11" t="s">
        <v>118</v>
      </c>
      <c r="Y7" s="11" t="s">
        <v>30</v>
      </c>
      <c r="Z7" s="11" t="s">
        <v>38</v>
      </c>
      <c r="AA7" s="20"/>
      <c r="AB7" s="11" t="s">
        <v>9</v>
      </c>
      <c r="AC7" s="11" t="s">
        <v>120</v>
      </c>
      <c r="AD7" s="20"/>
      <c r="AE7" s="11"/>
      <c r="AF7" s="11"/>
      <c r="AG7" s="11"/>
    </row>
    <row r="8" spans="1:35" ht="24.95" customHeight="1" x14ac:dyDescent="0.25">
      <c r="A8" s="27" t="s">
        <v>54</v>
      </c>
      <c r="B8" s="28"/>
      <c r="C8" s="28"/>
      <c r="D8" s="22"/>
      <c r="E8" s="22"/>
      <c r="F8" s="60"/>
      <c r="G8" s="22"/>
      <c r="H8" s="22"/>
      <c r="I8" s="22"/>
      <c r="J8" s="22"/>
      <c r="K8" s="22"/>
      <c r="L8" s="22"/>
      <c r="M8" s="22"/>
      <c r="N8" s="22"/>
      <c r="O8" s="22"/>
      <c r="P8" s="22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</row>
    <row r="9" spans="1:35" ht="24.95" customHeight="1" x14ac:dyDescent="0.25">
      <c r="A9" s="24">
        <v>404</v>
      </c>
      <c r="B9" s="25" t="s">
        <v>125</v>
      </c>
      <c r="C9" s="25"/>
      <c r="D9" s="42">
        <v>0.2986111111111111</v>
      </c>
      <c r="E9" s="42">
        <v>0.88680555555555562</v>
      </c>
      <c r="F9" s="42">
        <f>E9-D9</f>
        <v>0.58819444444444446</v>
      </c>
      <c r="G9" s="54">
        <f>14*60+7</f>
        <v>847</v>
      </c>
      <c r="H9" s="22"/>
      <c r="I9" s="26">
        <v>0</v>
      </c>
      <c r="J9" s="26">
        <v>0</v>
      </c>
      <c r="K9" s="26">
        <v>0</v>
      </c>
      <c r="L9" s="26"/>
      <c r="M9" s="26"/>
      <c r="N9" s="26"/>
      <c r="O9" s="26"/>
      <c r="P9" s="26"/>
      <c r="Q9" s="26">
        <f>SUM(I9:P9)</f>
        <v>0</v>
      </c>
      <c r="R9" s="22"/>
      <c r="S9" s="26">
        <v>160</v>
      </c>
      <c r="T9" s="26">
        <v>150</v>
      </c>
      <c r="U9" s="26">
        <v>120</v>
      </c>
      <c r="V9" s="26">
        <v>60</v>
      </c>
      <c r="W9" s="26">
        <v>53</v>
      </c>
      <c r="X9" s="26">
        <v>8</v>
      </c>
      <c r="Y9" s="26">
        <v>0</v>
      </c>
      <c r="Z9" s="26">
        <f>SUM(S9:Y9)</f>
        <v>551</v>
      </c>
      <c r="AA9" s="22"/>
      <c r="AB9" s="26">
        <f>Z9-Q9</f>
        <v>551</v>
      </c>
      <c r="AC9" s="57">
        <f>G9-AB9</f>
        <v>296</v>
      </c>
      <c r="AD9" s="22"/>
      <c r="AE9" s="26">
        <f>ROUNDDOWN(AC9/60,0.1)</f>
        <v>4</v>
      </c>
      <c r="AF9" s="57">
        <f>AC9-AE9*60</f>
        <v>56</v>
      </c>
      <c r="AG9" s="26">
        <v>1</v>
      </c>
      <c r="AH9" s="43"/>
      <c r="AI9" s="43"/>
    </row>
    <row r="10" spans="1:35" ht="24.95" customHeight="1" x14ac:dyDescent="0.25">
      <c r="A10" s="24">
        <v>401</v>
      </c>
      <c r="B10" s="29" t="s">
        <v>56</v>
      </c>
      <c r="C10" s="29"/>
      <c r="D10" s="42">
        <v>0.2986111111111111</v>
      </c>
      <c r="E10" s="42">
        <v>0.99444444444444446</v>
      </c>
      <c r="F10" s="42">
        <f>E10-D10</f>
        <v>0.6958333333333333</v>
      </c>
      <c r="G10" s="54">
        <f>16*60+42</f>
        <v>1002</v>
      </c>
      <c r="H10" s="22"/>
      <c r="I10" s="26">
        <v>0</v>
      </c>
      <c r="J10" s="26">
        <v>0</v>
      </c>
      <c r="K10" s="26">
        <v>0</v>
      </c>
      <c r="L10" s="26"/>
      <c r="M10" s="26"/>
      <c r="N10" s="26"/>
      <c r="O10" s="26"/>
      <c r="P10" s="26"/>
      <c r="Q10" s="26">
        <f>SUM(I10:P10)</f>
        <v>0</v>
      </c>
      <c r="R10" s="22"/>
      <c r="S10" s="26">
        <v>160</v>
      </c>
      <c r="T10" s="26">
        <v>150</v>
      </c>
      <c r="U10" s="26">
        <v>120</v>
      </c>
      <c r="V10" s="26">
        <v>100</v>
      </c>
      <c r="W10" s="26">
        <v>58</v>
      </c>
      <c r="X10" s="26">
        <v>35</v>
      </c>
      <c r="Y10" s="26">
        <v>5</v>
      </c>
      <c r="Z10" s="26">
        <f>SUM(S10:Y10)</f>
        <v>628</v>
      </c>
      <c r="AA10" s="22"/>
      <c r="AB10" s="26">
        <f>Z10-Q10</f>
        <v>628</v>
      </c>
      <c r="AC10" s="57">
        <f>G10-AB10</f>
        <v>374</v>
      </c>
      <c r="AD10" s="22"/>
      <c r="AE10" s="26">
        <f>ROUNDDOWN(AC10/60,0.1)</f>
        <v>6</v>
      </c>
      <c r="AF10" s="57">
        <f>AC10-AE10*60</f>
        <v>14</v>
      </c>
      <c r="AG10" s="26">
        <v>2</v>
      </c>
      <c r="AH10" s="43"/>
      <c r="AI10" s="43"/>
    </row>
    <row r="11" spans="1:35" ht="24.95" customHeight="1" x14ac:dyDescent="0.25">
      <c r="A11" s="24">
        <v>400</v>
      </c>
      <c r="B11" s="25" t="s">
        <v>55</v>
      </c>
      <c r="C11" s="25"/>
      <c r="D11" s="42">
        <v>0.2986111111111111</v>
      </c>
      <c r="E11" s="42">
        <v>0.9145833333333333</v>
      </c>
      <c r="F11" s="42">
        <f>E11-D11</f>
        <v>0.61597222222222214</v>
      </c>
      <c r="G11" s="54">
        <f>14*60+47</f>
        <v>887</v>
      </c>
      <c r="H11" s="22"/>
      <c r="I11" s="26">
        <v>0</v>
      </c>
      <c r="J11" s="26">
        <v>0</v>
      </c>
      <c r="K11" s="26">
        <v>0</v>
      </c>
      <c r="L11" s="26"/>
      <c r="M11" s="26"/>
      <c r="N11" s="26">
        <v>60</v>
      </c>
      <c r="O11" s="26"/>
      <c r="P11" s="26"/>
      <c r="Q11" s="26">
        <f>SUM(I11:P11)</f>
        <v>60</v>
      </c>
      <c r="R11" s="22"/>
      <c r="S11" s="26">
        <v>160</v>
      </c>
      <c r="T11" s="26">
        <v>150</v>
      </c>
      <c r="U11" s="26">
        <v>120</v>
      </c>
      <c r="V11" s="26">
        <v>0</v>
      </c>
      <c r="W11" s="26">
        <v>23</v>
      </c>
      <c r="X11" s="26">
        <v>16</v>
      </c>
      <c r="Y11" s="26">
        <v>15</v>
      </c>
      <c r="Z11" s="26">
        <f>SUM(S11:Y11)</f>
        <v>484</v>
      </c>
      <c r="AA11" s="22"/>
      <c r="AB11" s="26">
        <f>Z11-Q11</f>
        <v>424</v>
      </c>
      <c r="AC11" s="57">
        <f>G11-AB11</f>
        <v>463</v>
      </c>
      <c r="AD11" s="22"/>
      <c r="AE11" s="26">
        <f>ROUNDDOWN(AC11/60,0.1)</f>
        <v>7</v>
      </c>
      <c r="AF11" s="57">
        <f>AC11-AE11*60</f>
        <v>43</v>
      </c>
      <c r="AG11" s="26">
        <v>3</v>
      </c>
      <c r="AH11" s="43"/>
      <c r="AI11" s="43"/>
    </row>
    <row r="12" spans="1:35" ht="24.95" customHeight="1" x14ac:dyDescent="0.25">
      <c r="A12" s="24">
        <v>403</v>
      </c>
      <c r="B12" s="25" t="s">
        <v>58</v>
      </c>
      <c r="C12" s="25"/>
      <c r="D12" s="42">
        <v>0.2986111111111111</v>
      </c>
      <c r="E12" s="42">
        <v>0.98611111111111116</v>
      </c>
      <c r="F12" s="42">
        <f>E12-D12</f>
        <v>0.6875</v>
      </c>
      <c r="G12" s="54">
        <f>16*60+30</f>
        <v>990</v>
      </c>
      <c r="H12" s="22"/>
      <c r="I12" s="26">
        <v>0</v>
      </c>
      <c r="J12" s="26">
        <v>0</v>
      </c>
      <c r="K12" s="26">
        <v>0</v>
      </c>
      <c r="L12" s="26"/>
      <c r="M12" s="26"/>
      <c r="N12" s="26"/>
      <c r="O12" s="26"/>
      <c r="P12" s="26"/>
      <c r="Q12" s="26">
        <f>SUM(I12:P12)</f>
        <v>0</v>
      </c>
      <c r="R12" s="22"/>
      <c r="S12" s="26">
        <v>130</v>
      </c>
      <c r="T12" s="26">
        <v>0</v>
      </c>
      <c r="U12" s="26"/>
      <c r="V12" s="26">
        <v>25</v>
      </c>
      <c r="W12" s="26">
        <v>56</v>
      </c>
      <c r="X12" s="26">
        <v>0</v>
      </c>
      <c r="Y12" s="26">
        <v>10</v>
      </c>
      <c r="Z12" s="26">
        <f>SUM(S12:Y12)</f>
        <v>221</v>
      </c>
      <c r="AA12" s="22"/>
      <c r="AB12" s="26">
        <f>Z12-Q12</f>
        <v>221</v>
      </c>
      <c r="AC12" s="57">
        <f>G12-AB12</f>
        <v>769</v>
      </c>
      <c r="AD12" s="22"/>
      <c r="AE12" s="26">
        <f>ROUNDDOWN(AC12/60,0.1)</f>
        <v>12</v>
      </c>
      <c r="AF12" s="57">
        <f>AC12-AE12*60</f>
        <v>49</v>
      </c>
      <c r="AG12" s="26">
        <v>4</v>
      </c>
      <c r="AH12" s="43"/>
      <c r="AI12" s="43"/>
    </row>
    <row r="13" spans="1:35" ht="24.95" customHeight="1" x14ac:dyDescent="0.25">
      <c r="A13" s="24">
        <v>402</v>
      </c>
      <c r="B13" s="25" t="s">
        <v>57</v>
      </c>
      <c r="C13" s="24"/>
      <c r="D13" s="42">
        <v>0.2986111111111111</v>
      </c>
      <c r="E13" s="81" t="s">
        <v>129</v>
      </c>
      <c r="F13" s="82"/>
      <c r="G13" s="54"/>
      <c r="H13" s="22"/>
      <c r="I13" s="26">
        <v>0</v>
      </c>
      <c r="J13" s="26">
        <v>0</v>
      </c>
      <c r="K13" s="26">
        <v>0</v>
      </c>
      <c r="L13" s="26"/>
      <c r="M13" s="26"/>
      <c r="N13" s="26">
        <v>60</v>
      </c>
      <c r="O13" s="26"/>
      <c r="P13" s="26"/>
      <c r="Q13" s="26">
        <f>SUM(I13:P13)</f>
        <v>60</v>
      </c>
      <c r="R13" s="22"/>
      <c r="S13" s="26">
        <v>70</v>
      </c>
      <c r="T13" s="26">
        <v>0</v>
      </c>
      <c r="U13" s="26">
        <v>120</v>
      </c>
      <c r="V13" s="26">
        <v>0</v>
      </c>
      <c r="W13" s="26">
        <v>42</v>
      </c>
      <c r="X13" s="26">
        <v>0</v>
      </c>
      <c r="Y13" s="26">
        <v>2</v>
      </c>
      <c r="Z13" s="26">
        <f>SUM(S13:Y13)</f>
        <v>234</v>
      </c>
      <c r="AA13" s="22"/>
      <c r="AB13" s="26">
        <f>Z13-Q13</f>
        <v>174</v>
      </c>
      <c r="AC13" s="62"/>
      <c r="AD13" s="22"/>
      <c r="AE13" s="22"/>
      <c r="AF13" s="62"/>
      <c r="AG13" s="22"/>
      <c r="AH13" s="43"/>
      <c r="AI13" s="43"/>
    </row>
    <row r="14" spans="1:35" ht="24.95" customHeight="1" x14ac:dyDescent="0.25">
      <c r="A14" s="27" t="s">
        <v>59</v>
      </c>
      <c r="B14" s="28"/>
      <c r="C14" s="28"/>
      <c r="D14" s="22"/>
      <c r="E14" s="22"/>
      <c r="F14" s="22"/>
      <c r="G14" s="55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43"/>
      <c r="AI14" s="43"/>
    </row>
    <row r="15" spans="1:35" ht="24.95" customHeight="1" x14ac:dyDescent="0.25">
      <c r="A15" s="24">
        <v>405</v>
      </c>
      <c r="B15" s="25" t="s">
        <v>60</v>
      </c>
      <c r="C15" s="25"/>
      <c r="D15" s="42">
        <v>0.2986111111111111</v>
      </c>
      <c r="E15" s="42">
        <v>0.98333333333333339</v>
      </c>
      <c r="F15" s="42">
        <f t="shared" ref="F15:F27" si="0">E15-D15</f>
        <v>0.68472222222222223</v>
      </c>
      <c r="G15" s="54">
        <f>16*60+26</f>
        <v>986</v>
      </c>
      <c r="H15" s="22"/>
      <c r="I15" s="26">
        <v>0</v>
      </c>
      <c r="J15" s="59">
        <v>240</v>
      </c>
      <c r="K15" s="26">
        <v>0</v>
      </c>
      <c r="L15" s="26"/>
      <c r="M15" s="26"/>
      <c r="N15" s="26"/>
      <c r="O15" s="26"/>
      <c r="P15" s="26"/>
      <c r="Q15" s="26">
        <f t="shared" ref="Q15:Q27" si="1">SUM(I15:P15)</f>
        <v>240</v>
      </c>
      <c r="R15" s="22"/>
      <c r="S15" s="26">
        <v>50</v>
      </c>
      <c r="T15" s="26">
        <v>0</v>
      </c>
      <c r="U15" s="26">
        <v>120</v>
      </c>
      <c r="V15" s="26">
        <v>90</v>
      </c>
      <c r="W15" s="26">
        <v>60</v>
      </c>
      <c r="X15" s="26">
        <v>18</v>
      </c>
      <c r="Y15" s="26">
        <v>9</v>
      </c>
      <c r="Z15" s="26">
        <f t="shared" ref="Z15:Z27" si="2">SUM(S15:Y15)</f>
        <v>347</v>
      </c>
      <c r="AA15" s="22"/>
      <c r="AB15" s="26">
        <f t="shared" ref="AB15:AB27" si="3">Z15-Q15</f>
        <v>107</v>
      </c>
      <c r="AC15" s="57">
        <f t="shared" ref="AC15:AC27" si="4">G15-AB15</f>
        <v>879</v>
      </c>
      <c r="AD15" s="22"/>
      <c r="AE15" s="26">
        <f t="shared" ref="AE15" si="5">ROUNDDOWN(AC15/60,0.1)</f>
        <v>14</v>
      </c>
      <c r="AF15" s="57">
        <f t="shared" ref="AF15" si="6">AC15-AE15*60</f>
        <v>39</v>
      </c>
      <c r="AG15" s="26">
        <v>1</v>
      </c>
      <c r="AH15" s="43"/>
      <c r="AI15" s="43"/>
    </row>
    <row r="16" spans="1:35" ht="24.95" customHeight="1" x14ac:dyDescent="0.25">
      <c r="A16" s="27" t="s">
        <v>61</v>
      </c>
      <c r="B16" s="28"/>
      <c r="C16" s="28"/>
      <c r="D16" s="22"/>
      <c r="E16" s="22"/>
      <c r="F16" s="22"/>
      <c r="G16" s="55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43"/>
      <c r="AI16" s="43"/>
    </row>
    <row r="17" spans="1:35" ht="24.95" customHeight="1" x14ac:dyDescent="0.25">
      <c r="A17" s="24">
        <v>410</v>
      </c>
      <c r="B17" s="25" t="s">
        <v>65</v>
      </c>
      <c r="C17" s="25"/>
      <c r="D17" s="42">
        <v>0.2986111111111111</v>
      </c>
      <c r="E17" s="42">
        <v>0.82500000000000007</v>
      </c>
      <c r="F17" s="42">
        <f>E17-D17</f>
        <v>0.52638888888888902</v>
      </c>
      <c r="G17" s="54">
        <f>12*60+38</f>
        <v>758</v>
      </c>
      <c r="H17" s="22"/>
      <c r="I17" s="26">
        <v>0</v>
      </c>
      <c r="J17" s="26">
        <v>0</v>
      </c>
      <c r="K17" s="22"/>
      <c r="L17" s="26"/>
      <c r="M17" s="26"/>
      <c r="N17" s="26"/>
      <c r="O17" s="26"/>
      <c r="P17" s="26"/>
      <c r="Q17" s="26">
        <f>SUM(I17:P17)</f>
        <v>0</v>
      </c>
      <c r="R17" s="22"/>
      <c r="S17" s="26">
        <v>100</v>
      </c>
      <c r="T17" s="26">
        <v>150</v>
      </c>
      <c r="U17" s="26">
        <v>120</v>
      </c>
      <c r="V17" s="26">
        <v>90</v>
      </c>
      <c r="W17" s="26">
        <v>40</v>
      </c>
      <c r="X17" s="26">
        <v>60</v>
      </c>
      <c r="Y17" s="26">
        <v>0</v>
      </c>
      <c r="Z17" s="26">
        <f>SUM(S17:Y17)</f>
        <v>560</v>
      </c>
      <c r="AA17" s="22"/>
      <c r="AB17" s="26">
        <f>Z17-Q17</f>
        <v>560</v>
      </c>
      <c r="AC17" s="57">
        <f>G17-AB17</f>
        <v>198</v>
      </c>
      <c r="AD17" s="22"/>
      <c r="AE17" s="26">
        <f>ROUNDDOWN(AC17/60,0.1)</f>
        <v>3</v>
      </c>
      <c r="AF17" s="57">
        <f>AC17-AE17*60</f>
        <v>18</v>
      </c>
      <c r="AG17" s="26">
        <v>1</v>
      </c>
      <c r="AH17" s="43"/>
      <c r="AI17" s="43"/>
    </row>
    <row r="18" spans="1:35" ht="24.95" customHeight="1" x14ac:dyDescent="0.25">
      <c r="A18" s="24">
        <v>411</v>
      </c>
      <c r="B18" s="25" t="s">
        <v>66</v>
      </c>
      <c r="C18" s="25"/>
      <c r="D18" s="42">
        <v>0.2986111111111111</v>
      </c>
      <c r="E18" s="42">
        <v>0.89861111111111114</v>
      </c>
      <c r="F18" s="42">
        <f>E18-D18</f>
        <v>0.60000000000000009</v>
      </c>
      <c r="G18" s="54">
        <f>14*60+24</f>
        <v>864</v>
      </c>
      <c r="H18" s="22"/>
      <c r="I18" s="26">
        <v>0</v>
      </c>
      <c r="J18" s="26">
        <v>0</v>
      </c>
      <c r="K18" s="22"/>
      <c r="L18" s="26"/>
      <c r="M18" s="26"/>
      <c r="N18" s="26"/>
      <c r="O18" s="26"/>
      <c r="P18" s="26"/>
      <c r="Q18" s="26">
        <f>SUM(I18:P18)</f>
        <v>0</v>
      </c>
      <c r="R18" s="22"/>
      <c r="S18" s="26">
        <v>100</v>
      </c>
      <c r="T18" s="26">
        <v>150</v>
      </c>
      <c r="U18" s="26">
        <v>90</v>
      </c>
      <c r="V18" s="26">
        <v>70</v>
      </c>
      <c r="W18" s="26">
        <v>45</v>
      </c>
      <c r="X18" s="26">
        <v>53</v>
      </c>
      <c r="Y18" s="26">
        <v>15</v>
      </c>
      <c r="Z18" s="26">
        <f>SUM(S18:Y18)</f>
        <v>523</v>
      </c>
      <c r="AA18" s="22"/>
      <c r="AB18" s="26">
        <f>Z18-Q18</f>
        <v>523</v>
      </c>
      <c r="AC18" s="57">
        <f>G18-AB18</f>
        <v>341</v>
      </c>
      <c r="AD18" s="22"/>
      <c r="AE18" s="26">
        <f>ROUNDDOWN(AC18/60,0.1)</f>
        <v>5</v>
      </c>
      <c r="AF18" s="57">
        <f>AC18-AE18*60</f>
        <v>41</v>
      </c>
      <c r="AG18" s="26">
        <v>2</v>
      </c>
      <c r="AH18" s="43"/>
      <c r="AI18" s="43"/>
    </row>
    <row r="19" spans="1:35" ht="24.95" customHeight="1" x14ac:dyDescent="0.25">
      <c r="A19" s="24">
        <v>408</v>
      </c>
      <c r="B19" s="30" t="s">
        <v>63</v>
      </c>
      <c r="C19" s="30"/>
      <c r="D19" s="42">
        <v>0.2986111111111111</v>
      </c>
      <c r="E19" s="42">
        <v>0.89930555555555547</v>
      </c>
      <c r="F19" s="42">
        <f>E19-D19</f>
        <v>0.60069444444444442</v>
      </c>
      <c r="G19" s="54">
        <f>14*60+25</f>
        <v>865</v>
      </c>
      <c r="H19" s="22"/>
      <c r="I19" s="26">
        <v>0</v>
      </c>
      <c r="J19" s="59">
        <v>0</v>
      </c>
      <c r="K19" s="22"/>
      <c r="L19" s="26"/>
      <c r="M19" s="26"/>
      <c r="N19" s="26"/>
      <c r="O19" s="26"/>
      <c r="P19" s="26"/>
      <c r="Q19" s="26">
        <f>SUM(I19:P19)</f>
        <v>0</v>
      </c>
      <c r="R19" s="22"/>
      <c r="S19" s="26">
        <v>100</v>
      </c>
      <c r="T19" s="59">
        <v>30</v>
      </c>
      <c r="U19" s="26">
        <v>120</v>
      </c>
      <c r="V19" s="26">
        <v>90</v>
      </c>
      <c r="W19" s="26">
        <v>58</v>
      </c>
      <c r="X19" s="26">
        <v>52</v>
      </c>
      <c r="Y19" s="26">
        <v>14</v>
      </c>
      <c r="Z19" s="26">
        <f>SUM(S19:Y19)</f>
        <v>464</v>
      </c>
      <c r="AA19" s="22"/>
      <c r="AB19" s="26">
        <f>Z19-Q19</f>
        <v>464</v>
      </c>
      <c r="AC19" s="57">
        <f>G19-AB19</f>
        <v>401</v>
      </c>
      <c r="AD19" s="22"/>
      <c r="AE19" s="26">
        <f>ROUNDDOWN(AC19/60,0.1)</f>
        <v>6</v>
      </c>
      <c r="AF19" s="57">
        <f>AC19-AE19*60</f>
        <v>41</v>
      </c>
      <c r="AG19" s="26">
        <v>3</v>
      </c>
      <c r="AH19" s="43"/>
      <c r="AI19" s="43"/>
    </row>
    <row r="20" spans="1:35" ht="24.95" customHeight="1" x14ac:dyDescent="0.25">
      <c r="A20" s="24">
        <v>409</v>
      </c>
      <c r="B20" s="30" t="s">
        <v>64</v>
      </c>
      <c r="C20" s="30"/>
      <c r="D20" s="42">
        <v>0.2986111111111111</v>
      </c>
      <c r="E20" s="42">
        <v>0.86458333333333337</v>
      </c>
      <c r="F20" s="42">
        <f>E20-D20</f>
        <v>0.56597222222222232</v>
      </c>
      <c r="G20" s="54">
        <f>13*60+35</f>
        <v>815</v>
      </c>
      <c r="H20" s="22"/>
      <c r="I20" s="26">
        <v>0</v>
      </c>
      <c r="J20" s="59">
        <v>180</v>
      </c>
      <c r="K20" s="22"/>
      <c r="L20" s="26"/>
      <c r="M20" s="26"/>
      <c r="N20" s="26"/>
      <c r="O20" s="26"/>
      <c r="P20" s="26"/>
      <c r="Q20" s="26">
        <f>SUM(I20:P20)</f>
        <v>180</v>
      </c>
      <c r="R20" s="22"/>
      <c r="S20" s="26">
        <v>100</v>
      </c>
      <c r="T20" s="26">
        <v>120</v>
      </c>
      <c r="U20" s="26">
        <v>120</v>
      </c>
      <c r="V20" s="26">
        <v>100</v>
      </c>
      <c r="W20" s="26">
        <v>45</v>
      </c>
      <c r="X20" s="26">
        <v>28</v>
      </c>
      <c r="Y20" s="26">
        <v>6</v>
      </c>
      <c r="Z20" s="26">
        <f>SUM(S20:Y20)</f>
        <v>519</v>
      </c>
      <c r="AA20" s="22"/>
      <c r="AB20" s="26">
        <f>Z20-Q20</f>
        <v>339</v>
      </c>
      <c r="AC20" s="57">
        <f>G20-AB20</f>
        <v>476</v>
      </c>
      <c r="AD20" s="22"/>
      <c r="AE20" s="26">
        <f>ROUNDDOWN(AC20/60,0.1)</f>
        <v>7</v>
      </c>
      <c r="AF20" s="57">
        <f>AC20-AE20*60</f>
        <v>56</v>
      </c>
      <c r="AG20" s="26">
        <v>4</v>
      </c>
      <c r="AH20" s="43"/>
      <c r="AI20" s="43"/>
    </row>
    <row r="21" spans="1:35" ht="24.95" customHeight="1" x14ac:dyDescent="0.25">
      <c r="A21" s="24">
        <v>406</v>
      </c>
      <c r="B21" s="30" t="s">
        <v>62</v>
      </c>
      <c r="C21" s="30"/>
      <c r="D21" s="42">
        <v>0.2986111111111111</v>
      </c>
      <c r="E21" s="42">
        <v>0.89930555555555547</v>
      </c>
      <c r="F21" s="42">
        <f>E21-D21</f>
        <v>0.60069444444444442</v>
      </c>
      <c r="G21" s="54">
        <f>14*60+25</f>
        <v>865</v>
      </c>
      <c r="H21" s="22"/>
      <c r="I21" s="26">
        <v>0</v>
      </c>
      <c r="J21" s="59">
        <v>180</v>
      </c>
      <c r="K21" s="22"/>
      <c r="L21" s="26"/>
      <c r="M21" s="26"/>
      <c r="N21" s="26"/>
      <c r="O21" s="26"/>
      <c r="P21" s="26"/>
      <c r="Q21" s="26">
        <f>SUM(I21:P21)</f>
        <v>180</v>
      </c>
      <c r="R21" s="22"/>
      <c r="S21" s="26">
        <v>100</v>
      </c>
      <c r="T21" s="59">
        <v>90</v>
      </c>
      <c r="U21" s="26">
        <v>120</v>
      </c>
      <c r="V21" s="26">
        <v>90</v>
      </c>
      <c r="W21" s="26">
        <v>42</v>
      </c>
      <c r="X21" s="26">
        <v>48</v>
      </c>
      <c r="Y21" s="26">
        <v>10</v>
      </c>
      <c r="Z21" s="26">
        <f>SUM(S21:Y21)</f>
        <v>500</v>
      </c>
      <c r="AA21" s="22"/>
      <c r="AB21" s="26">
        <f>Z21-Q21</f>
        <v>320</v>
      </c>
      <c r="AC21" s="57">
        <f>G21-AB21</f>
        <v>545</v>
      </c>
      <c r="AD21" s="22"/>
      <c r="AE21" s="26">
        <f>ROUNDDOWN(AC21/60,0.1)</f>
        <v>9</v>
      </c>
      <c r="AF21" s="57">
        <f>AC21-AE21*60</f>
        <v>5</v>
      </c>
      <c r="AG21" s="26">
        <v>5</v>
      </c>
      <c r="AH21" s="43"/>
      <c r="AI21" s="43"/>
    </row>
    <row r="22" spans="1:35" ht="24.95" customHeight="1" x14ac:dyDescent="0.25">
      <c r="A22" s="27" t="s">
        <v>67</v>
      </c>
      <c r="B22" s="28"/>
      <c r="C22" s="28"/>
      <c r="D22" s="22"/>
      <c r="E22" s="22"/>
      <c r="F22" s="22"/>
      <c r="G22" s="55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43"/>
      <c r="AI22" s="43"/>
    </row>
    <row r="23" spans="1:35" ht="24.95" customHeight="1" x14ac:dyDescent="0.25">
      <c r="A23" s="24">
        <v>415</v>
      </c>
      <c r="B23" s="25" t="s">
        <v>68</v>
      </c>
      <c r="C23" s="25"/>
      <c r="D23" s="42">
        <v>0.2986111111111111</v>
      </c>
      <c r="E23" s="42">
        <v>0.83680555555555547</v>
      </c>
      <c r="F23" s="42">
        <f t="shared" si="0"/>
        <v>0.53819444444444442</v>
      </c>
      <c r="G23" s="54">
        <f>12*60+55</f>
        <v>775</v>
      </c>
      <c r="H23" s="22"/>
      <c r="I23" s="26">
        <v>0</v>
      </c>
      <c r="J23" s="26">
        <v>0</v>
      </c>
      <c r="K23" s="26">
        <v>0</v>
      </c>
      <c r="L23" s="26"/>
      <c r="M23" s="26"/>
      <c r="N23" s="26"/>
      <c r="O23" s="26"/>
      <c r="P23" s="26"/>
      <c r="Q23" s="26">
        <f t="shared" si="1"/>
        <v>0</v>
      </c>
      <c r="R23" s="22"/>
      <c r="S23" s="26">
        <v>190</v>
      </c>
      <c r="T23" s="26">
        <v>150</v>
      </c>
      <c r="U23" s="26">
        <v>90</v>
      </c>
      <c r="V23" s="26">
        <v>50</v>
      </c>
      <c r="W23" s="26">
        <v>31</v>
      </c>
      <c r="X23" s="26">
        <v>5</v>
      </c>
      <c r="Y23" s="26">
        <v>0</v>
      </c>
      <c r="Z23" s="26">
        <f t="shared" si="2"/>
        <v>516</v>
      </c>
      <c r="AA23" s="22"/>
      <c r="AB23" s="26">
        <f t="shared" si="3"/>
        <v>516</v>
      </c>
      <c r="AC23" s="57">
        <f t="shared" si="4"/>
        <v>259</v>
      </c>
      <c r="AD23" s="22"/>
      <c r="AE23" s="26">
        <f t="shared" ref="AE23" si="7">ROUNDDOWN(AC23/60,0.1)</f>
        <v>4</v>
      </c>
      <c r="AF23" s="57">
        <f t="shared" ref="AF23" si="8">AC23-AE23*60</f>
        <v>19</v>
      </c>
      <c r="AG23" s="26">
        <v>1</v>
      </c>
      <c r="AH23" s="43"/>
      <c r="AI23" s="43"/>
    </row>
    <row r="24" spans="1:35" ht="24.95" customHeight="1" x14ac:dyDescent="0.25">
      <c r="A24" s="27" t="s">
        <v>69</v>
      </c>
      <c r="B24" s="28"/>
      <c r="C24" s="28"/>
      <c r="D24" s="22"/>
      <c r="E24" s="22"/>
      <c r="F24" s="22"/>
      <c r="G24" s="55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43"/>
      <c r="AI24" s="43"/>
    </row>
    <row r="25" spans="1:35" ht="24.95" customHeight="1" x14ac:dyDescent="0.25">
      <c r="A25" s="24">
        <v>201</v>
      </c>
      <c r="B25" s="25" t="s">
        <v>70</v>
      </c>
      <c r="C25" s="25"/>
      <c r="D25" s="42">
        <v>0.2986111111111111</v>
      </c>
      <c r="E25" s="42">
        <v>0.96388888888888891</v>
      </c>
      <c r="F25" s="42">
        <f t="shared" si="0"/>
        <v>0.66527777777777786</v>
      </c>
      <c r="G25" s="54">
        <f>15*60+58</f>
        <v>958</v>
      </c>
      <c r="H25" s="22"/>
      <c r="I25" s="26">
        <v>0</v>
      </c>
      <c r="J25" s="26">
        <v>0</v>
      </c>
      <c r="K25" s="26">
        <v>0</v>
      </c>
      <c r="L25" s="26"/>
      <c r="M25" s="26"/>
      <c r="N25" s="26"/>
      <c r="O25" s="26"/>
      <c r="P25" s="26"/>
      <c r="Q25" s="26">
        <f t="shared" si="1"/>
        <v>0</v>
      </c>
      <c r="R25" s="22"/>
      <c r="S25" s="26">
        <v>100</v>
      </c>
      <c r="T25" s="26"/>
      <c r="U25" s="26"/>
      <c r="V25" s="26"/>
      <c r="W25" s="26">
        <v>30</v>
      </c>
      <c r="X25" s="26"/>
      <c r="Y25" s="26">
        <v>19</v>
      </c>
      <c r="Z25" s="26">
        <f t="shared" si="2"/>
        <v>149</v>
      </c>
      <c r="AA25" s="22"/>
      <c r="AB25" s="26">
        <f t="shared" si="3"/>
        <v>149</v>
      </c>
      <c r="AC25" s="57">
        <f t="shared" si="4"/>
        <v>809</v>
      </c>
      <c r="AD25" s="22"/>
      <c r="AE25" s="26">
        <f t="shared" ref="AE25" si="9">ROUNDDOWN(AC25/60,0.1)</f>
        <v>13</v>
      </c>
      <c r="AF25" s="57">
        <f t="shared" ref="AF25" si="10">AC25-AE25*60</f>
        <v>29</v>
      </c>
      <c r="AG25" s="26">
        <v>1</v>
      </c>
      <c r="AH25" s="43"/>
      <c r="AI25" s="43"/>
    </row>
    <row r="26" spans="1:35" ht="24.95" customHeight="1" x14ac:dyDescent="0.25">
      <c r="A26" s="27" t="s">
        <v>72</v>
      </c>
      <c r="B26" s="28"/>
      <c r="C26" s="28"/>
      <c r="D26" s="22"/>
      <c r="E26" s="22"/>
      <c r="F26" s="22"/>
      <c r="G26" s="55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43"/>
      <c r="AI26" s="43"/>
    </row>
    <row r="27" spans="1:35" ht="24.95" customHeight="1" x14ac:dyDescent="0.25">
      <c r="A27" s="24">
        <v>204</v>
      </c>
      <c r="B27" s="25" t="s">
        <v>73</v>
      </c>
      <c r="C27" s="25" t="s">
        <v>126</v>
      </c>
      <c r="D27" s="42">
        <v>0.2986111111111111</v>
      </c>
      <c r="E27" s="42">
        <v>0.88055555555555554</v>
      </c>
      <c r="F27" s="42">
        <f t="shared" si="0"/>
        <v>0.58194444444444438</v>
      </c>
      <c r="G27" s="54">
        <f>13*60+58</f>
        <v>838</v>
      </c>
      <c r="H27" s="22"/>
      <c r="I27" s="26">
        <v>0</v>
      </c>
      <c r="J27" s="26"/>
      <c r="K27" s="22"/>
      <c r="L27" s="26"/>
      <c r="M27" s="26"/>
      <c r="N27" s="26"/>
      <c r="O27" s="26"/>
      <c r="P27" s="26"/>
      <c r="Q27" s="26">
        <f t="shared" si="1"/>
        <v>0</v>
      </c>
      <c r="R27" s="22"/>
      <c r="S27" s="26"/>
      <c r="T27" s="26"/>
      <c r="U27" s="26"/>
      <c r="V27" s="26">
        <v>90</v>
      </c>
      <c r="W27" s="26"/>
      <c r="X27" s="26"/>
      <c r="Y27" s="26">
        <v>15</v>
      </c>
      <c r="Z27" s="26">
        <f t="shared" si="2"/>
        <v>105</v>
      </c>
      <c r="AA27" s="22"/>
      <c r="AB27" s="26">
        <f t="shared" si="3"/>
        <v>105</v>
      </c>
      <c r="AC27" s="57">
        <f t="shared" si="4"/>
        <v>733</v>
      </c>
      <c r="AD27" s="22"/>
      <c r="AE27" s="26">
        <f t="shared" ref="AE27" si="11">ROUNDDOWN(AC27/60,0.1)</f>
        <v>12</v>
      </c>
      <c r="AF27" s="57">
        <f t="shared" ref="AF27" si="12">AC27-AE27*60</f>
        <v>13</v>
      </c>
      <c r="AG27" s="26">
        <v>1</v>
      </c>
      <c r="AH27" s="43"/>
      <c r="AI27" s="43"/>
    </row>
    <row r="28" spans="1:35" ht="15.75" x14ac:dyDescent="0.25">
      <c r="B28" s="43"/>
      <c r="C28" s="43"/>
      <c r="D28" s="43"/>
      <c r="E28" s="43"/>
      <c r="F28" s="43"/>
      <c r="G28" s="56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</row>
    <row r="29" spans="1:35" ht="15.75" x14ac:dyDescent="0.25">
      <c r="B29" s="43"/>
      <c r="C29" s="43"/>
      <c r="D29" s="43"/>
      <c r="E29" s="43"/>
      <c r="F29" s="43"/>
      <c r="G29" s="56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</row>
    <row r="30" spans="1:35" ht="15.75" x14ac:dyDescent="0.25">
      <c r="B30" s="43"/>
      <c r="C30" s="43"/>
      <c r="D30" s="43"/>
      <c r="E30" s="43"/>
      <c r="F30" s="43"/>
      <c r="G30" s="56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</row>
    <row r="31" spans="1:35" ht="15.75" x14ac:dyDescent="0.25">
      <c r="B31" s="43"/>
      <c r="C31" s="43"/>
      <c r="D31" s="43"/>
      <c r="E31" s="43"/>
      <c r="F31" s="43"/>
      <c r="G31" s="56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</row>
    <row r="32" spans="1:35" ht="15.75" x14ac:dyDescent="0.25">
      <c r="B32" s="43"/>
      <c r="C32" s="43"/>
      <c r="D32" s="43"/>
      <c r="E32" s="43"/>
      <c r="F32" s="43"/>
      <c r="G32" s="56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</row>
    <row r="33" spans="2:35" ht="15.75" x14ac:dyDescent="0.25">
      <c r="B33" s="43"/>
      <c r="C33" s="43"/>
      <c r="D33" s="43"/>
      <c r="E33" s="43"/>
      <c r="F33" s="43"/>
      <c r="G33" s="52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</row>
    <row r="34" spans="2:35" ht="15.75" x14ac:dyDescent="0.25">
      <c r="B34" s="43"/>
      <c r="C34" s="43"/>
      <c r="D34" s="43"/>
      <c r="E34" s="43"/>
      <c r="F34" s="43"/>
      <c r="G34" s="52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</row>
    <row r="35" spans="2:35" ht="15.75" x14ac:dyDescent="0.25">
      <c r="B35" s="43"/>
      <c r="C35" s="43"/>
      <c r="D35" s="43"/>
      <c r="E35" s="43"/>
      <c r="F35" s="43"/>
      <c r="G35" s="52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</row>
    <row r="36" spans="2:35" ht="15.75" x14ac:dyDescent="0.25">
      <c r="B36" s="43"/>
      <c r="C36" s="43"/>
      <c r="D36" s="43"/>
      <c r="E36" s="43"/>
      <c r="F36" s="43"/>
      <c r="G36" s="52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</row>
    <row r="37" spans="2:35" ht="15.75" x14ac:dyDescent="0.25">
      <c r="B37" s="43"/>
      <c r="C37" s="43"/>
      <c r="D37" s="43"/>
      <c r="E37" s="43"/>
      <c r="F37" s="43"/>
      <c r="G37" s="52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</row>
    <row r="38" spans="2:35" ht="15.75" x14ac:dyDescent="0.25">
      <c r="B38" s="43"/>
      <c r="C38" s="43"/>
      <c r="D38" s="43"/>
      <c r="E38" s="43"/>
      <c r="F38" s="43"/>
      <c r="G38" s="52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</row>
    <row r="39" spans="2:35" ht="15.75" x14ac:dyDescent="0.25">
      <c r="B39" s="43"/>
      <c r="C39" s="43"/>
      <c r="D39" s="43"/>
      <c r="E39" s="43"/>
      <c r="F39" s="43"/>
      <c r="G39" s="52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</row>
    <row r="40" spans="2:35" ht="15.75" x14ac:dyDescent="0.25">
      <c r="B40" s="43"/>
      <c r="C40" s="43"/>
      <c r="D40" s="43"/>
      <c r="E40" s="43"/>
      <c r="F40" s="43"/>
      <c r="G40" s="52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</row>
    <row r="41" spans="2:35" ht="15.75" x14ac:dyDescent="0.25">
      <c r="B41" s="43"/>
      <c r="C41" s="43"/>
      <c r="D41" s="43"/>
      <c r="E41" s="43"/>
      <c r="F41" s="43"/>
      <c r="G41" s="52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</row>
    <row r="42" spans="2:35" ht="15.75" x14ac:dyDescent="0.25">
      <c r="B42" s="43"/>
      <c r="C42" s="43"/>
      <c r="D42" s="43"/>
      <c r="E42" s="43"/>
      <c r="F42" s="43"/>
      <c r="G42" s="52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</row>
    <row r="43" spans="2:35" ht="15.75" x14ac:dyDescent="0.25">
      <c r="B43" s="43"/>
      <c r="C43" s="43"/>
      <c r="D43" s="43"/>
      <c r="E43" s="43"/>
      <c r="F43" s="43"/>
      <c r="G43" s="52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</row>
    <row r="44" spans="2:35" ht="15.75" x14ac:dyDescent="0.25">
      <c r="B44" s="43"/>
      <c r="C44" s="43"/>
      <c r="D44" s="43"/>
      <c r="E44" s="43"/>
      <c r="F44" s="43"/>
      <c r="G44" s="52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</row>
    <row r="45" spans="2:35" ht="15.75" x14ac:dyDescent="0.25"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</row>
    <row r="46" spans="2:35" ht="15.75" x14ac:dyDescent="0.25"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</row>
    <row r="47" spans="2:35" ht="15.75" x14ac:dyDescent="0.25"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</row>
    <row r="48" spans="2:35" ht="15.75" x14ac:dyDescent="0.25"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</row>
  </sheetData>
  <sortState ref="A9:AG13">
    <sortCondition ref="AG9:AG13"/>
  </sortState>
  <mergeCells count="6">
    <mergeCell ref="E13:F13"/>
    <mergeCell ref="I4:Q4"/>
    <mergeCell ref="S4:Z4"/>
    <mergeCell ref="M5:O5"/>
    <mergeCell ref="S5:Z5"/>
    <mergeCell ref="I5:K5"/>
  </mergeCells>
  <pageMargins left="0.7" right="0.7" top="0.75" bottom="0.75" header="0.3" footer="0.3"/>
  <pageSetup paperSize="8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4"/>
  <sheetViews>
    <sheetView workbookViewId="0">
      <selection activeCell="M2" sqref="A1:M2"/>
    </sheetView>
  </sheetViews>
  <sheetFormatPr defaultRowHeight="15" x14ac:dyDescent="0.25"/>
  <cols>
    <col min="2" max="2" width="34.28515625" customWidth="1"/>
    <col min="3" max="3" width="22.140625" customWidth="1"/>
    <col min="4" max="4" width="11.7109375" customWidth="1"/>
    <col min="5" max="6" width="11.28515625" customWidth="1"/>
    <col min="7" max="7" width="11.28515625" hidden="1" customWidth="1"/>
    <col min="8" max="8" width="2.7109375" customWidth="1"/>
    <col min="9" max="9" width="11.7109375" customWidth="1"/>
    <col min="10" max="10" width="12.140625" customWidth="1"/>
    <col min="11" max="11" width="9.140625" customWidth="1"/>
    <col min="12" max="12" width="12.85546875" customWidth="1"/>
    <col min="13" max="13" width="11.42578125" customWidth="1"/>
    <col min="14" max="15" width="9.140625" hidden="1" customWidth="1"/>
    <col min="16" max="16" width="11.7109375" hidden="1" customWidth="1"/>
    <col min="17" max="17" width="11.28515625" customWidth="1"/>
    <col min="18" max="18" width="2.28515625" customWidth="1"/>
    <col min="25" max="25" width="10.42578125" customWidth="1"/>
    <col min="26" max="26" width="2.42578125" customWidth="1"/>
    <col min="27" max="27" width="10" customWidth="1"/>
    <col min="28" max="28" width="9.7109375" customWidth="1"/>
    <col min="29" max="29" width="2.140625" customWidth="1"/>
    <col min="30" max="30" width="10.85546875" customWidth="1"/>
    <col min="31" max="31" width="10.28515625" customWidth="1"/>
  </cols>
  <sheetData>
    <row r="1" spans="1:33" ht="18.75" x14ac:dyDescent="0.3">
      <c r="A1" s="1" t="s">
        <v>0</v>
      </c>
      <c r="B1" s="1"/>
      <c r="C1" s="1"/>
      <c r="D1" s="1"/>
    </row>
    <row r="2" spans="1:33" ht="18.75" x14ac:dyDescent="0.3">
      <c r="A2" s="1" t="s">
        <v>1</v>
      </c>
      <c r="B2" s="1"/>
      <c r="C2" s="1" t="s">
        <v>133</v>
      </c>
      <c r="D2" s="1"/>
    </row>
    <row r="3" spans="1:33" ht="18.75" x14ac:dyDescent="0.3">
      <c r="A3" s="1"/>
      <c r="B3" s="1"/>
      <c r="C3" s="1"/>
      <c r="D3" s="1"/>
    </row>
    <row r="4" spans="1:33" ht="18.75" x14ac:dyDescent="0.3">
      <c r="A4" s="1" t="s">
        <v>39</v>
      </c>
      <c r="B4" s="1"/>
      <c r="C4" s="1"/>
      <c r="D4" s="1"/>
      <c r="I4" s="75" t="s">
        <v>34</v>
      </c>
      <c r="J4" s="76"/>
      <c r="K4" s="76"/>
      <c r="L4" s="76"/>
      <c r="M4" s="76"/>
      <c r="N4" s="76"/>
      <c r="O4" s="76"/>
      <c r="P4" s="76"/>
      <c r="Q4" s="77"/>
      <c r="S4" s="75" t="s">
        <v>35</v>
      </c>
      <c r="T4" s="76"/>
      <c r="U4" s="76"/>
      <c r="V4" s="76"/>
      <c r="W4" s="76"/>
      <c r="X4" s="76"/>
      <c r="Y4" s="77"/>
    </row>
    <row r="5" spans="1:33" ht="18.75" x14ac:dyDescent="0.3">
      <c r="A5" s="2"/>
      <c r="B5" s="2"/>
      <c r="C5" s="2"/>
      <c r="D5" s="3"/>
      <c r="E5" s="3"/>
      <c r="F5" s="3"/>
      <c r="G5" s="4"/>
      <c r="H5" s="12"/>
      <c r="I5" s="72" t="s">
        <v>25</v>
      </c>
      <c r="J5" s="73"/>
      <c r="K5" s="74"/>
      <c r="L5" s="72" t="s">
        <v>16</v>
      </c>
      <c r="M5" s="73"/>
      <c r="N5" s="73"/>
      <c r="O5" s="74"/>
      <c r="P5" s="5" t="s">
        <v>21</v>
      </c>
      <c r="Q5" s="3"/>
      <c r="R5" s="12"/>
      <c r="S5" s="78" t="s">
        <v>41</v>
      </c>
      <c r="T5" s="79"/>
      <c r="U5" s="79"/>
      <c r="V5" s="79"/>
      <c r="W5" s="79"/>
      <c r="X5" s="79"/>
      <c r="Y5" s="80"/>
      <c r="Z5" s="12"/>
      <c r="AA5" s="40" t="s">
        <v>30</v>
      </c>
      <c r="AB5" s="40" t="s">
        <v>22</v>
      </c>
      <c r="AC5" s="21"/>
      <c r="AD5" s="3"/>
      <c r="AE5" s="3"/>
      <c r="AF5" s="3"/>
    </row>
    <row r="6" spans="1:33" ht="15.75" x14ac:dyDescent="0.25">
      <c r="A6" s="6" t="s">
        <v>3</v>
      </c>
      <c r="B6" s="6"/>
      <c r="C6" s="6" t="s">
        <v>112</v>
      </c>
      <c r="D6" s="7" t="s">
        <v>5</v>
      </c>
      <c r="E6" s="7" t="s">
        <v>5</v>
      </c>
      <c r="F6" s="7" t="s">
        <v>122</v>
      </c>
      <c r="G6" s="7" t="s">
        <v>122</v>
      </c>
      <c r="H6" s="13"/>
      <c r="I6" s="7" t="s">
        <v>11</v>
      </c>
      <c r="J6" s="7" t="s">
        <v>12</v>
      </c>
      <c r="K6" s="7" t="s">
        <v>110</v>
      </c>
      <c r="L6" s="7" t="s">
        <v>18</v>
      </c>
      <c r="M6" s="7" t="s">
        <v>19</v>
      </c>
      <c r="N6" s="7" t="s">
        <v>17</v>
      </c>
      <c r="O6" s="7" t="s">
        <v>20</v>
      </c>
      <c r="P6" s="7" t="s">
        <v>9</v>
      </c>
      <c r="Q6" s="8" t="s">
        <v>22</v>
      </c>
      <c r="R6" s="17"/>
      <c r="S6" s="8" t="s">
        <v>12</v>
      </c>
      <c r="T6" s="8" t="s">
        <v>26</v>
      </c>
      <c r="U6" s="8" t="s">
        <v>28</v>
      </c>
      <c r="V6" s="8" t="s">
        <v>42</v>
      </c>
      <c r="W6" s="8" t="s">
        <v>18</v>
      </c>
      <c r="X6" s="8" t="s">
        <v>17</v>
      </c>
      <c r="Y6" s="8" t="s">
        <v>22</v>
      </c>
      <c r="Z6" s="19"/>
      <c r="AA6" s="8" t="s">
        <v>127</v>
      </c>
      <c r="AB6" s="8" t="s">
        <v>32</v>
      </c>
      <c r="AC6" s="19"/>
      <c r="AD6" s="8" t="s">
        <v>121</v>
      </c>
      <c r="AE6" s="8" t="s">
        <v>119</v>
      </c>
      <c r="AF6" s="8" t="s">
        <v>53</v>
      </c>
    </row>
    <row r="7" spans="1:33" ht="15.75" x14ac:dyDescent="0.25">
      <c r="A7" s="9" t="s">
        <v>4</v>
      </c>
      <c r="B7" s="9" t="s">
        <v>33</v>
      </c>
      <c r="C7" s="9"/>
      <c r="D7" s="10" t="s">
        <v>6</v>
      </c>
      <c r="E7" s="10" t="s">
        <v>7</v>
      </c>
      <c r="F7" s="10" t="s">
        <v>5</v>
      </c>
      <c r="G7" s="10" t="s">
        <v>123</v>
      </c>
      <c r="H7" s="14"/>
      <c r="I7" s="10" t="s">
        <v>14</v>
      </c>
      <c r="J7" s="10" t="s">
        <v>15</v>
      </c>
      <c r="K7" s="10" t="s">
        <v>14</v>
      </c>
      <c r="L7" s="9"/>
      <c r="M7" s="9"/>
      <c r="N7" s="9"/>
      <c r="O7" s="9"/>
      <c r="P7" s="9"/>
      <c r="Q7" s="11" t="s">
        <v>23</v>
      </c>
      <c r="R7" s="18"/>
      <c r="S7" s="11" t="s">
        <v>15</v>
      </c>
      <c r="T7" s="11" t="s">
        <v>27</v>
      </c>
      <c r="U7" s="11"/>
      <c r="V7" s="11" t="s">
        <v>29</v>
      </c>
      <c r="W7" s="11" t="s">
        <v>118</v>
      </c>
      <c r="X7" s="11" t="s">
        <v>118</v>
      </c>
      <c r="Y7" s="11" t="s">
        <v>38</v>
      </c>
      <c r="Z7" s="20"/>
      <c r="AA7" s="11" t="s">
        <v>9</v>
      </c>
      <c r="AB7" s="11" t="s">
        <v>120</v>
      </c>
      <c r="AC7" s="20"/>
      <c r="AD7" s="11"/>
      <c r="AE7" s="11"/>
      <c r="AF7" s="11"/>
    </row>
    <row r="8" spans="1:33" ht="24.95" customHeight="1" x14ac:dyDescent="0.25">
      <c r="A8" s="27" t="s">
        <v>54</v>
      </c>
      <c r="B8" s="36"/>
      <c r="C8" s="36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</row>
    <row r="9" spans="1:33" ht="24.95" customHeight="1" x14ac:dyDescent="0.25">
      <c r="A9" s="33">
        <v>302</v>
      </c>
      <c r="B9" s="25" t="s">
        <v>77</v>
      </c>
      <c r="C9" s="25"/>
      <c r="D9" s="42">
        <v>0.33333333333333331</v>
      </c>
      <c r="E9" s="42">
        <v>0.87638888888888899</v>
      </c>
      <c r="F9" s="42">
        <f>E9-D9</f>
        <v>0.54305555555555562</v>
      </c>
      <c r="G9" s="26">
        <f>13*60+2</f>
        <v>782</v>
      </c>
      <c r="H9" s="22"/>
      <c r="I9" s="26"/>
      <c r="J9" s="26">
        <v>60</v>
      </c>
      <c r="K9" s="26"/>
      <c r="L9" s="26"/>
      <c r="M9" s="26"/>
      <c r="N9" s="26"/>
      <c r="O9" s="26"/>
      <c r="P9" s="26"/>
      <c r="Q9" s="26">
        <f>SUM(J9:P9)</f>
        <v>60</v>
      </c>
      <c r="R9" s="22"/>
      <c r="S9" s="26">
        <v>150</v>
      </c>
      <c r="T9" s="26">
        <v>120</v>
      </c>
      <c r="U9" s="26">
        <v>90</v>
      </c>
      <c r="V9" s="26">
        <v>46</v>
      </c>
      <c r="W9" s="26">
        <v>4</v>
      </c>
      <c r="X9" s="26">
        <v>4</v>
      </c>
      <c r="Y9" s="26">
        <f>SUM(S9:X9)</f>
        <v>414</v>
      </c>
      <c r="Z9" s="22"/>
      <c r="AA9" s="26">
        <f>Y9-Q9</f>
        <v>354</v>
      </c>
      <c r="AB9" s="26">
        <f>G9-AA9</f>
        <v>428</v>
      </c>
      <c r="AC9" s="22"/>
      <c r="AD9" s="26">
        <f>ROUNDDOWN(AB9/60,0.1)</f>
        <v>7</v>
      </c>
      <c r="AE9" s="57">
        <f>AB9-AD9*60</f>
        <v>8</v>
      </c>
      <c r="AF9" s="26">
        <v>1</v>
      </c>
      <c r="AG9" s="43"/>
    </row>
    <row r="10" spans="1:33" ht="24.95" customHeight="1" x14ac:dyDescent="0.25">
      <c r="A10" s="27" t="s">
        <v>67</v>
      </c>
      <c r="B10" s="36"/>
      <c r="C10" s="36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43"/>
    </row>
    <row r="11" spans="1:33" ht="24.95" customHeight="1" x14ac:dyDescent="0.25">
      <c r="A11" s="33">
        <v>306</v>
      </c>
      <c r="B11" s="25" t="s">
        <v>80</v>
      </c>
      <c r="C11" s="25"/>
      <c r="D11" s="42">
        <v>0.33333333333333331</v>
      </c>
      <c r="E11" s="42">
        <v>0.87222222222222223</v>
      </c>
      <c r="F11" s="42">
        <f>E11-D11</f>
        <v>0.53888888888888897</v>
      </c>
      <c r="G11" s="26">
        <f>12*60+56</f>
        <v>776</v>
      </c>
      <c r="H11" s="22"/>
      <c r="I11" s="26"/>
      <c r="J11" s="26">
        <v>0</v>
      </c>
      <c r="K11" s="26"/>
      <c r="L11" s="26"/>
      <c r="M11" s="26"/>
      <c r="N11" s="26"/>
      <c r="O11" s="26"/>
      <c r="P11" s="26"/>
      <c r="Q11" s="26">
        <f>SUM(J11:P11)</f>
        <v>0</v>
      </c>
      <c r="R11" s="22"/>
      <c r="S11" s="26">
        <v>90</v>
      </c>
      <c r="T11" s="26">
        <v>120</v>
      </c>
      <c r="U11" s="26">
        <v>45</v>
      </c>
      <c r="V11" s="26">
        <v>60</v>
      </c>
      <c r="W11" s="26">
        <v>15</v>
      </c>
      <c r="X11" s="26">
        <v>4</v>
      </c>
      <c r="Y11" s="26">
        <f>SUM(S11:X11)</f>
        <v>334</v>
      </c>
      <c r="Z11" s="22"/>
      <c r="AA11" s="26">
        <f>Y11-Q11</f>
        <v>334</v>
      </c>
      <c r="AB11" s="26">
        <f>G11-AA11</f>
        <v>442</v>
      </c>
      <c r="AC11" s="22"/>
      <c r="AD11" s="26">
        <f>ROUNDDOWN(AB11/60,0.1)</f>
        <v>7</v>
      </c>
      <c r="AE11" s="57">
        <f>AB11-AD11*60</f>
        <v>22</v>
      </c>
      <c r="AF11" s="26">
        <v>1</v>
      </c>
      <c r="AG11" s="43"/>
    </row>
    <row r="12" spans="1:33" ht="24.95" customHeight="1" x14ac:dyDescent="0.25">
      <c r="A12" s="70">
        <v>305</v>
      </c>
      <c r="B12" s="25" t="s">
        <v>78</v>
      </c>
      <c r="C12" s="25"/>
      <c r="D12" s="42">
        <v>0.33333333333333331</v>
      </c>
      <c r="E12" s="42">
        <v>0.8652777777777777</v>
      </c>
      <c r="F12" s="42">
        <f>E12-D12</f>
        <v>0.53194444444444433</v>
      </c>
      <c r="G12" s="26">
        <f>12*60+46</f>
        <v>766</v>
      </c>
      <c r="H12" s="22"/>
      <c r="I12" s="26"/>
      <c r="J12" s="26">
        <v>0</v>
      </c>
      <c r="K12" s="26"/>
      <c r="L12" s="26"/>
      <c r="M12" s="26"/>
      <c r="N12" s="26"/>
      <c r="O12" s="26"/>
      <c r="P12" s="26"/>
      <c r="Q12" s="26">
        <f>SUM(J12:P12)</f>
        <v>0</v>
      </c>
      <c r="R12" s="22"/>
      <c r="S12" s="26">
        <v>90</v>
      </c>
      <c r="T12" s="26">
        <v>90</v>
      </c>
      <c r="U12" s="26">
        <v>70</v>
      </c>
      <c r="V12" s="26">
        <v>40</v>
      </c>
      <c r="W12" s="26">
        <v>10</v>
      </c>
      <c r="X12" s="26">
        <v>1</v>
      </c>
      <c r="Y12" s="26">
        <f>SUM(S12:X12)</f>
        <v>301</v>
      </c>
      <c r="Z12" s="22"/>
      <c r="AA12" s="26">
        <f>Y12-Q12</f>
        <v>301</v>
      </c>
      <c r="AB12" s="26">
        <f>G12-AA12</f>
        <v>465</v>
      </c>
      <c r="AC12" s="22"/>
      <c r="AD12" s="26">
        <f>ROUNDDOWN(AB12/60,0.1)</f>
        <v>7</v>
      </c>
      <c r="AE12" s="57">
        <f>AB12-AD12*60</f>
        <v>45</v>
      </c>
      <c r="AF12" s="26">
        <v>2</v>
      </c>
      <c r="AG12" s="43"/>
    </row>
    <row r="13" spans="1:33" ht="24.95" customHeight="1" x14ac:dyDescent="0.25">
      <c r="A13" s="27" t="s">
        <v>79</v>
      </c>
      <c r="B13" s="36"/>
      <c r="C13" s="36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43"/>
    </row>
    <row r="14" spans="1:33" ht="24.95" customHeight="1" x14ac:dyDescent="0.25">
      <c r="A14" s="32">
        <v>315</v>
      </c>
      <c r="B14" s="25" t="s">
        <v>84</v>
      </c>
      <c r="C14" s="25"/>
      <c r="D14" s="42">
        <v>0.3125</v>
      </c>
      <c r="E14" s="42">
        <v>0.77222222222222225</v>
      </c>
      <c r="F14" s="42">
        <f>E14-D14</f>
        <v>0.45972222222222225</v>
      </c>
      <c r="G14" s="26">
        <f>11*60+2</f>
        <v>662</v>
      </c>
      <c r="H14" s="22"/>
      <c r="I14" s="26"/>
      <c r="J14" s="26">
        <v>0</v>
      </c>
      <c r="K14" s="22"/>
      <c r="L14" s="26"/>
      <c r="M14" s="26"/>
      <c r="N14" s="26"/>
      <c r="O14" s="26"/>
      <c r="P14" s="26"/>
      <c r="Q14" s="26">
        <f t="shared" ref="Q14:Q19" si="0">SUM(J14:P14)</f>
        <v>0</v>
      </c>
      <c r="R14" s="22"/>
      <c r="S14" s="26">
        <v>150</v>
      </c>
      <c r="T14" s="26">
        <v>120</v>
      </c>
      <c r="U14" s="26">
        <v>70</v>
      </c>
      <c r="V14" s="26">
        <v>37</v>
      </c>
      <c r="W14" s="26">
        <v>10</v>
      </c>
      <c r="X14" s="26">
        <v>5</v>
      </c>
      <c r="Y14" s="26">
        <f t="shared" ref="Y14:Y19" si="1">SUM(S14:X14)</f>
        <v>392</v>
      </c>
      <c r="Z14" s="22"/>
      <c r="AA14" s="26">
        <f>Y14-Q14</f>
        <v>392</v>
      </c>
      <c r="AB14" s="26">
        <f>G14-AA14</f>
        <v>270</v>
      </c>
      <c r="AC14" s="22"/>
      <c r="AD14" s="26">
        <f>ROUNDDOWN(AB14/60,0.1)</f>
        <v>4</v>
      </c>
      <c r="AE14" s="57">
        <f>AB14-AD14*60</f>
        <v>30</v>
      </c>
      <c r="AF14" s="26">
        <v>1</v>
      </c>
      <c r="AG14" s="43"/>
    </row>
    <row r="15" spans="1:33" ht="24.95" customHeight="1" x14ac:dyDescent="0.25">
      <c r="A15" s="32">
        <v>317</v>
      </c>
      <c r="B15" s="25" t="s">
        <v>86</v>
      </c>
      <c r="C15" s="25"/>
      <c r="D15" s="42">
        <v>0.3125</v>
      </c>
      <c r="E15" s="42">
        <v>0.81736111111111109</v>
      </c>
      <c r="F15" s="42">
        <f>E15-D15</f>
        <v>0.50486111111111109</v>
      </c>
      <c r="G15" s="26">
        <f>12*60+7</f>
        <v>727</v>
      </c>
      <c r="H15" s="22"/>
      <c r="I15" s="26"/>
      <c r="J15" s="26">
        <v>0</v>
      </c>
      <c r="K15" s="22"/>
      <c r="L15" s="26"/>
      <c r="M15" s="26"/>
      <c r="N15" s="26"/>
      <c r="O15" s="26"/>
      <c r="P15" s="26"/>
      <c r="Q15" s="26">
        <f t="shared" si="0"/>
        <v>0</v>
      </c>
      <c r="R15" s="22"/>
      <c r="S15" s="26">
        <v>150</v>
      </c>
      <c r="T15" s="26">
        <v>90</v>
      </c>
      <c r="U15" s="26">
        <v>55</v>
      </c>
      <c r="V15" s="26">
        <v>26</v>
      </c>
      <c r="W15" s="26">
        <v>10</v>
      </c>
      <c r="X15" s="26">
        <v>5</v>
      </c>
      <c r="Y15" s="26">
        <f t="shared" si="1"/>
        <v>336</v>
      </c>
      <c r="Z15" s="22"/>
      <c r="AA15" s="26">
        <f>Y15-Q15</f>
        <v>336</v>
      </c>
      <c r="AB15" s="26">
        <f>G15-AA15</f>
        <v>391</v>
      </c>
      <c r="AC15" s="22"/>
      <c r="AD15" s="26">
        <f>ROUNDDOWN(AB15/60,0.1)</f>
        <v>6</v>
      </c>
      <c r="AE15" s="57">
        <f>AB15-AD15*60</f>
        <v>31</v>
      </c>
      <c r="AF15" s="26">
        <v>2</v>
      </c>
      <c r="AG15" s="43"/>
    </row>
    <row r="16" spans="1:33" ht="24.95" customHeight="1" x14ac:dyDescent="0.25">
      <c r="A16" s="32">
        <v>312</v>
      </c>
      <c r="B16" s="25" t="s">
        <v>83</v>
      </c>
      <c r="C16" s="25"/>
      <c r="D16" s="42">
        <v>0.3125</v>
      </c>
      <c r="E16" s="42">
        <v>0.85486111111111107</v>
      </c>
      <c r="F16" s="42">
        <f>E16-D16</f>
        <v>0.54236111111111107</v>
      </c>
      <c r="G16" s="26">
        <f>13*60+1</f>
        <v>781</v>
      </c>
      <c r="H16" s="22"/>
      <c r="I16" s="26"/>
      <c r="J16" s="26">
        <v>0</v>
      </c>
      <c r="K16" s="22"/>
      <c r="L16" s="26"/>
      <c r="M16" s="26"/>
      <c r="N16" s="26"/>
      <c r="O16" s="26"/>
      <c r="P16" s="26"/>
      <c r="Q16" s="26">
        <f t="shared" si="0"/>
        <v>0</v>
      </c>
      <c r="R16" s="22"/>
      <c r="S16" s="26">
        <v>120</v>
      </c>
      <c r="T16" s="26">
        <v>120</v>
      </c>
      <c r="U16" s="26">
        <v>0</v>
      </c>
      <c r="V16" s="26">
        <v>36</v>
      </c>
      <c r="W16" s="26">
        <v>52</v>
      </c>
      <c r="X16" s="26">
        <v>9</v>
      </c>
      <c r="Y16" s="26">
        <f t="shared" si="1"/>
        <v>337</v>
      </c>
      <c r="Z16" s="22"/>
      <c r="AA16" s="26">
        <f>Y16-Q16</f>
        <v>337</v>
      </c>
      <c r="AB16" s="26">
        <f>G16-AA16</f>
        <v>444</v>
      </c>
      <c r="AC16" s="22"/>
      <c r="AD16" s="26">
        <f>ROUNDDOWN(AB16/60,0.1)</f>
        <v>7</v>
      </c>
      <c r="AE16" s="57">
        <f>AB16-AD16*60</f>
        <v>24</v>
      </c>
      <c r="AF16" s="26">
        <v>3</v>
      </c>
      <c r="AG16" s="43"/>
    </row>
    <row r="17" spans="1:33" ht="24.95" customHeight="1" x14ac:dyDescent="0.25">
      <c r="A17" s="33">
        <v>311</v>
      </c>
      <c r="B17" s="25" t="s">
        <v>82</v>
      </c>
      <c r="C17" s="25"/>
      <c r="D17" s="42">
        <v>0.3125</v>
      </c>
      <c r="E17" s="42">
        <v>0.8930555555555556</v>
      </c>
      <c r="F17" s="42">
        <f>E17-D17</f>
        <v>0.5805555555555556</v>
      </c>
      <c r="G17" s="26">
        <f>13*60+56</f>
        <v>836</v>
      </c>
      <c r="H17" s="22"/>
      <c r="I17" s="26"/>
      <c r="J17" s="26">
        <v>0</v>
      </c>
      <c r="K17" s="22"/>
      <c r="L17" s="26"/>
      <c r="M17" s="26"/>
      <c r="N17" s="26"/>
      <c r="O17" s="26"/>
      <c r="P17" s="26"/>
      <c r="Q17" s="26">
        <f t="shared" si="0"/>
        <v>0</v>
      </c>
      <c r="R17" s="22"/>
      <c r="S17" s="26">
        <v>120</v>
      </c>
      <c r="T17" s="26">
        <v>120</v>
      </c>
      <c r="U17" s="26">
        <v>35</v>
      </c>
      <c r="V17" s="26">
        <v>53</v>
      </c>
      <c r="W17" s="26">
        <v>50</v>
      </c>
      <c r="X17" s="26">
        <v>1</v>
      </c>
      <c r="Y17" s="26">
        <f t="shared" si="1"/>
        <v>379</v>
      </c>
      <c r="Z17" s="22"/>
      <c r="AA17" s="26">
        <f>Y17-Q17</f>
        <v>379</v>
      </c>
      <c r="AB17" s="26">
        <f>G17-AA17</f>
        <v>457</v>
      </c>
      <c r="AC17" s="22"/>
      <c r="AD17" s="26">
        <f>ROUNDDOWN(AB17/60,0.1)</f>
        <v>7</v>
      </c>
      <c r="AE17" s="57">
        <f>AB17-AD17*60</f>
        <v>37</v>
      </c>
      <c r="AF17" s="26">
        <v>4</v>
      </c>
      <c r="AG17" s="43"/>
    </row>
    <row r="18" spans="1:33" ht="24.95" customHeight="1" x14ac:dyDescent="0.25">
      <c r="A18" s="32">
        <v>307</v>
      </c>
      <c r="B18" s="25" t="s">
        <v>81</v>
      </c>
      <c r="C18" s="25"/>
      <c r="D18" s="42">
        <v>0.3125</v>
      </c>
      <c r="E18" s="42">
        <v>0.86597222222222225</v>
      </c>
      <c r="F18" s="42">
        <f>E18-D18</f>
        <v>0.55347222222222225</v>
      </c>
      <c r="G18" s="26">
        <f>13*60+17</f>
        <v>797</v>
      </c>
      <c r="H18" s="22"/>
      <c r="I18" s="26"/>
      <c r="J18" s="26">
        <v>0</v>
      </c>
      <c r="K18" s="22"/>
      <c r="L18" s="26"/>
      <c r="M18" s="26"/>
      <c r="N18" s="26"/>
      <c r="O18" s="26"/>
      <c r="P18" s="26"/>
      <c r="Q18" s="26">
        <f t="shared" si="0"/>
        <v>0</v>
      </c>
      <c r="R18" s="22"/>
      <c r="S18" s="26">
        <v>120</v>
      </c>
      <c r="T18" s="26">
        <v>120</v>
      </c>
      <c r="U18" s="26">
        <v>0</v>
      </c>
      <c r="V18" s="26">
        <v>29</v>
      </c>
      <c r="W18" s="26">
        <v>54</v>
      </c>
      <c r="X18" s="26">
        <v>6</v>
      </c>
      <c r="Y18" s="26">
        <f t="shared" si="1"/>
        <v>329</v>
      </c>
      <c r="Z18" s="22"/>
      <c r="AA18" s="26">
        <f>Y18-Q18</f>
        <v>329</v>
      </c>
      <c r="AB18" s="26">
        <f>G18-AA18</f>
        <v>468</v>
      </c>
      <c r="AC18" s="22"/>
      <c r="AD18" s="26">
        <f>ROUNDDOWN(AB18/60,0.1)</f>
        <v>7</v>
      </c>
      <c r="AE18" s="57">
        <f>AB18-AD18*60</f>
        <v>48</v>
      </c>
      <c r="AF18" s="26">
        <v>5</v>
      </c>
      <c r="AG18" s="43"/>
    </row>
    <row r="19" spans="1:33" ht="24.95" customHeight="1" x14ac:dyDescent="0.25">
      <c r="A19" s="34">
        <v>309</v>
      </c>
      <c r="B19" s="25" t="s">
        <v>85</v>
      </c>
      <c r="C19" s="25" t="s">
        <v>130</v>
      </c>
      <c r="D19" s="42">
        <v>0.3125</v>
      </c>
      <c r="E19" s="26"/>
      <c r="F19" s="42"/>
      <c r="G19" s="26"/>
      <c r="H19" s="22"/>
      <c r="I19" s="26"/>
      <c r="J19" s="22"/>
      <c r="K19" s="22"/>
      <c r="L19" s="22"/>
      <c r="M19" s="22"/>
      <c r="N19" s="22"/>
      <c r="O19" s="22"/>
      <c r="P19" s="22"/>
      <c r="Q19" s="22">
        <f t="shared" si="0"/>
        <v>0</v>
      </c>
      <c r="R19" s="22"/>
      <c r="S19" s="22"/>
      <c r="T19" s="22"/>
      <c r="U19" s="22"/>
      <c r="V19" s="22"/>
      <c r="W19" s="22"/>
      <c r="X19" s="22"/>
      <c r="Y19" s="22">
        <f t="shared" si="1"/>
        <v>0</v>
      </c>
      <c r="Z19" s="22"/>
      <c r="AA19" s="22"/>
      <c r="AB19" s="22"/>
      <c r="AC19" s="22"/>
      <c r="AD19" s="22"/>
      <c r="AE19" s="22"/>
      <c r="AF19" s="22">
        <v>6</v>
      </c>
      <c r="AG19" s="43"/>
    </row>
    <row r="20" spans="1:33" ht="24.95" customHeight="1" x14ac:dyDescent="0.25">
      <c r="A20" s="27" t="s">
        <v>87</v>
      </c>
      <c r="B20" s="36"/>
      <c r="C20" s="36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43"/>
    </row>
    <row r="21" spans="1:33" ht="24.95" customHeight="1" x14ac:dyDescent="0.25">
      <c r="A21" s="33">
        <v>210</v>
      </c>
      <c r="B21" s="25" t="s">
        <v>88</v>
      </c>
      <c r="C21" s="25"/>
      <c r="D21" s="42">
        <v>0.33333333333333331</v>
      </c>
      <c r="E21" s="42">
        <v>0.8618055555555556</v>
      </c>
      <c r="F21" s="42">
        <f t="shared" ref="F11:F26" si="2">E21-D21</f>
        <v>0.52847222222222223</v>
      </c>
      <c r="G21" s="26">
        <f>12*60+41</f>
        <v>761</v>
      </c>
      <c r="H21" s="22"/>
      <c r="I21" s="26"/>
      <c r="J21" s="26"/>
      <c r="K21" s="26"/>
      <c r="L21" s="26"/>
      <c r="M21" s="26"/>
      <c r="N21" s="26"/>
      <c r="O21" s="26"/>
      <c r="P21" s="26"/>
      <c r="Q21" s="26">
        <f t="shared" ref="Q11:Q26" si="3">SUM(J21:P21)</f>
        <v>0</v>
      </c>
      <c r="R21" s="22"/>
      <c r="S21" s="26">
        <v>120</v>
      </c>
      <c r="T21" s="26">
        <v>60</v>
      </c>
      <c r="U21" s="26"/>
      <c r="V21" s="26">
        <v>16</v>
      </c>
      <c r="W21" s="26">
        <v>14</v>
      </c>
      <c r="X21" s="26">
        <v>0</v>
      </c>
      <c r="Y21" s="26">
        <f t="shared" ref="Y11:Y26" si="4">SUM(S21:X21)</f>
        <v>210</v>
      </c>
      <c r="Z21" s="22"/>
      <c r="AA21" s="26">
        <f t="shared" ref="AA11:AA26" si="5">Y21-Q21</f>
        <v>210</v>
      </c>
      <c r="AB21" s="26">
        <f t="shared" ref="AB11:AB26" si="6">G21-AA21</f>
        <v>551</v>
      </c>
      <c r="AC21" s="22"/>
      <c r="AD21" s="26">
        <f t="shared" ref="AD21" si="7">ROUNDDOWN(AB21/60,0.1)</f>
        <v>9</v>
      </c>
      <c r="AE21" s="57">
        <f t="shared" ref="AE21" si="8">AB21-AD21*60</f>
        <v>11</v>
      </c>
      <c r="AF21" s="26">
        <v>1</v>
      </c>
      <c r="AG21" s="43"/>
    </row>
    <row r="22" spans="1:33" ht="24.95" customHeight="1" x14ac:dyDescent="0.25">
      <c r="A22" s="27" t="s">
        <v>89</v>
      </c>
      <c r="B22" s="36"/>
      <c r="C22" s="36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43"/>
    </row>
    <row r="23" spans="1:33" ht="24.95" customHeight="1" x14ac:dyDescent="0.25">
      <c r="A23" s="33">
        <v>211</v>
      </c>
      <c r="B23" s="25" t="s">
        <v>90</v>
      </c>
      <c r="C23" s="25"/>
      <c r="D23" s="42">
        <v>0.33333333333333331</v>
      </c>
      <c r="E23" s="42">
        <v>0.96388888888888891</v>
      </c>
      <c r="F23" s="42">
        <f>E23-D23</f>
        <v>0.63055555555555554</v>
      </c>
      <c r="G23" s="26">
        <f>15*60+8</f>
        <v>908</v>
      </c>
      <c r="H23" s="22"/>
      <c r="I23" s="26"/>
      <c r="J23" s="26">
        <v>0</v>
      </c>
      <c r="K23" s="26"/>
      <c r="L23" s="26">
        <v>0</v>
      </c>
      <c r="M23" s="26"/>
      <c r="N23" s="26"/>
      <c r="O23" s="26"/>
      <c r="P23" s="26"/>
      <c r="Q23" s="26">
        <f>SUM(J23:P23)</f>
        <v>0</v>
      </c>
      <c r="R23" s="22"/>
      <c r="S23" s="26">
        <v>150</v>
      </c>
      <c r="T23" s="26">
        <v>60</v>
      </c>
      <c r="U23" s="26">
        <v>85</v>
      </c>
      <c r="V23" s="26">
        <v>23</v>
      </c>
      <c r="W23" s="26">
        <v>42</v>
      </c>
      <c r="X23" s="26">
        <v>5</v>
      </c>
      <c r="Y23" s="26">
        <f>SUM(S23:X23)</f>
        <v>365</v>
      </c>
      <c r="Z23" s="22"/>
      <c r="AA23" s="26">
        <f>Y23-Q23</f>
        <v>365</v>
      </c>
      <c r="AB23" s="26">
        <f>G23-AA23</f>
        <v>543</v>
      </c>
      <c r="AC23" s="22"/>
      <c r="AD23" s="26">
        <f>ROUNDDOWN(AB23/60,0.1)</f>
        <v>9</v>
      </c>
      <c r="AE23" s="57">
        <f>AB23-AD23*60</f>
        <v>3</v>
      </c>
      <c r="AF23" s="26">
        <v>1</v>
      </c>
      <c r="AG23" s="43"/>
    </row>
    <row r="24" spans="1:33" ht="24.95" customHeight="1" x14ac:dyDescent="0.25">
      <c r="A24" s="32">
        <v>212</v>
      </c>
      <c r="B24" s="35" t="s">
        <v>91</v>
      </c>
      <c r="C24" s="35" t="s">
        <v>134</v>
      </c>
      <c r="D24" s="42">
        <v>0.33333333333333331</v>
      </c>
      <c r="E24" s="42">
        <v>0.80833333333333324</v>
      </c>
      <c r="F24" s="42">
        <f>E24-D24</f>
        <v>0.47499999999999992</v>
      </c>
      <c r="G24" s="26">
        <f>11*60+24</f>
        <v>684</v>
      </c>
      <c r="H24" s="22"/>
      <c r="I24" s="26"/>
      <c r="J24" s="26"/>
      <c r="K24" s="26"/>
      <c r="L24" s="26"/>
      <c r="M24" s="26"/>
      <c r="N24" s="26"/>
      <c r="O24" s="26"/>
      <c r="P24" s="26"/>
      <c r="Q24" s="26">
        <f>SUM(J24:P24)</f>
        <v>0</v>
      </c>
      <c r="R24" s="22"/>
      <c r="S24" s="26"/>
      <c r="T24" s="26">
        <v>60</v>
      </c>
      <c r="U24" s="26">
        <v>80</v>
      </c>
      <c r="V24" s="26">
        <v>30</v>
      </c>
      <c r="W24" s="26">
        <v>12</v>
      </c>
      <c r="X24" s="26">
        <v>1</v>
      </c>
      <c r="Y24" s="26">
        <f>SUM(S24:X24)</f>
        <v>183</v>
      </c>
      <c r="Z24" s="22"/>
      <c r="AA24" s="26">
        <f>Y24-Q24</f>
        <v>183</v>
      </c>
      <c r="AB24" s="26">
        <f>G24-AA24</f>
        <v>501</v>
      </c>
      <c r="AC24" s="22"/>
      <c r="AD24" s="26">
        <f>ROUNDDOWN(AB24/60,0.1)</f>
        <v>8</v>
      </c>
      <c r="AE24" s="57">
        <f>AB24-AD24*60</f>
        <v>21</v>
      </c>
      <c r="AF24" s="26">
        <v>2</v>
      </c>
      <c r="AG24" s="43"/>
    </row>
    <row r="25" spans="1:33" ht="15.75" x14ac:dyDescent="0.25">
      <c r="A25" s="27" t="s">
        <v>74</v>
      </c>
      <c r="B25" s="28"/>
      <c r="C25" s="28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66"/>
    </row>
    <row r="26" spans="1:33" ht="27" customHeight="1" x14ac:dyDescent="0.25">
      <c r="A26" s="24">
        <v>206</v>
      </c>
      <c r="B26" s="25" t="s">
        <v>75</v>
      </c>
      <c r="C26" s="25"/>
      <c r="D26" s="42">
        <v>0.3125</v>
      </c>
      <c r="E26" s="42">
        <v>0.81597222222222221</v>
      </c>
      <c r="F26" s="42">
        <f t="shared" si="2"/>
        <v>0.50347222222222221</v>
      </c>
      <c r="G26" s="26">
        <f>12*60+5</f>
        <v>725</v>
      </c>
      <c r="H26" s="22"/>
      <c r="I26" s="26"/>
      <c r="J26" s="26">
        <v>0</v>
      </c>
      <c r="K26" s="22"/>
      <c r="L26" s="26"/>
      <c r="M26" s="26"/>
      <c r="N26" s="26"/>
      <c r="O26" s="26"/>
      <c r="P26" s="26"/>
      <c r="Q26" s="26">
        <f t="shared" si="3"/>
        <v>0</v>
      </c>
      <c r="R26" s="22"/>
      <c r="S26" s="26">
        <v>90</v>
      </c>
      <c r="T26" s="26">
        <v>60</v>
      </c>
      <c r="U26" s="26">
        <v>40</v>
      </c>
      <c r="V26" s="26">
        <v>14</v>
      </c>
      <c r="W26" s="26">
        <v>16</v>
      </c>
      <c r="X26" s="26">
        <v>0</v>
      </c>
      <c r="Y26" s="26">
        <f t="shared" si="4"/>
        <v>220</v>
      </c>
      <c r="Z26" s="22"/>
      <c r="AA26" s="26">
        <f t="shared" si="5"/>
        <v>220</v>
      </c>
      <c r="AB26" s="26">
        <f t="shared" si="6"/>
        <v>505</v>
      </c>
      <c r="AC26" s="22"/>
      <c r="AD26" s="26">
        <f t="shared" ref="AD26" si="9">ROUNDDOWN(AB26/60,0.1)</f>
        <v>8</v>
      </c>
      <c r="AE26" s="57">
        <f t="shared" ref="AE26" si="10">AB26-AD26*60</f>
        <v>25</v>
      </c>
      <c r="AF26" s="26">
        <v>1</v>
      </c>
      <c r="AG26" s="66"/>
    </row>
    <row r="27" spans="1:33" ht="15.75" x14ac:dyDescent="0.25"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66"/>
    </row>
    <row r="28" spans="1:33" ht="15.75" x14ac:dyDescent="0.25"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</row>
    <row r="29" spans="1:33" ht="15.75" x14ac:dyDescent="0.25"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</row>
    <row r="30" spans="1:33" ht="15.75" x14ac:dyDescent="0.25"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</row>
    <row r="31" spans="1:33" ht="15.75" x14ac:dyDescent="0.25"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</row>
    <row r="32" spans="1:33" ht="15.75" x14ac:dyDescent="0.25"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</row>
    <row r="33" spans="4:33" ht="15.75" x14ac:dyDescent="0.25"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</row>
    <row r="34" spans="4:33" ht="15.75" x14ac:dyDescent="0.25"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</row>
    <row r="35" spans="4:33" ht="15.75" x14ac:dyDescent="0.25"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</row>
    <row r="36" spans="4:33" ht="15.75" x14ac:dyDescent="0.25"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</row>
    <row r="37" spans="4:33" ht="15.75" x14ac:dyDescent="0.25"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</row>
    <row r="38" spans="4:33" ht="15.75" x14ac:dyDescent="0.25"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</row>
    <row r="39" spans="4:33" ht="15.75" x14ac:dyDescent="0.25"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</row>
    <row r="40" spans="4:33" ht="15.75" x14ac:dyDescent="0.25"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</row>
    <row r="41" spans="4:33" ht="15.75" x14ac:dyDescent="0.25"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</row>
    <row r="42" spans="4:33" ht="15.75" x14ac:dyDescent="0.25"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</row>
    <row r="43" spans="4:33" ht="15.75" x14ac:dyDescent="0.25"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</row>
    <row r="44" spans="4:33" ht="15.75" x14ac:dyDescent="0.25"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</row>
    <row r="45" spans="4:33" ht="15.75" x14ac:dyDescent="0.25"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</row>
    <row r="46" spans="4:33" ht="15.75" x14ac:dyDescent="0.25"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</row>
    <row r="47" spans="4:33" ht="15.75" x14ac:dyDescent="0.25"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</row>
    <row r="48" spans="4:33" ht="15.75" x14ac:dyDescent="0.25"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</row>
    <row r="49" spans="4:33" ht="15.75" x14ac:dyDescent="0.25"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</row>
    <row r="50" spans="4:33" ht="15.75" x14ac:dyDescent="0.25"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</row>
    <row r="51" spans="4:33" ht="15.75" x14ac:dyDescent="0.25"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</row>
    <row r="52" spans="4:33" ht="15.75" x14ac:dyDescent="0.25"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</row>
    <row r="53" spans="4:33" ht="15.75" x14ac:dyDescent="0.25"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</row>
    <row r="54" spans="4:33" ht="15.75" x14ac:dyDescent="0.25"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</row>
  </sheetData>
  <sortState ref="A11:AF12">
    <sortCondition descending="1" ref="AF11:AF12"/>
  </sortState>
  <mergeCells count="5">
    <mergeCell ref="I4:Q4"/>
    <mergeCell ref="S4:Y4"/>
    <mergeCell ref="L5:O5"/>
    <mergeCell ref="S5:Y5"/>
    <mergeCell ref="I5:K5"/>
  </mergeCells>
  <pageMargins left="0.7" right="0.7" top="0.75" bottom="0.75" header="0.3" footer="0.3"/>
  <pageSetup paperSize="8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6"/>
  <sheetViews>
    <sheetView workbookViewId="0">
      <selection activeCell="M34" sqref="A32:M34"/>
    </sheetView>
  </sheetViews>
  <sheetFormatPr defaultRowHeight="15" x14ac:dyDescent="0.25"/>
  <cols>
    <col min="2" max="2" width="31.5703125" customWidth="1"/>
    <col min="3" max="3" width="11.7109375" customWidth="1"/>
    <col min="4" max="5" width="11.28515625" customWidth="1"/>
    <col min="6" max="6" width="11.28515625" hidden="1" customWidth="1"/>
    <col min="7" max="7" width="2.7109375" customWidth="1"/>
    <col min="8" max="8" width="14.5703125" customWidth="1"/>
    <col min="9" max="12" width="9.140625" customWidth="1"/>
    <col min="13" max="13" width="11.7109375" customWidth="1"/>
    <col min="14" max="14" width="11.28515625" customWidth="1"/>
    <col min="15" max="15" width="2.28515625" customWidth="1"/>
    <col min="16" max="16" width="9.140625" customWidth="1"/>
    <col min="22" max="22" width="10.42578125" customWidth="1"/>
    <col min="23" max="23" width="2.42578125" customWidth="1"/>
    <col min="24" max="24" width="10" customWidth="1"/>
    <col min="25" max="25" width="9.7109375" customWidth="1"/>
    <col min="26" max="26" width="2.140625" customWidth="1"/>
    <col min="27" max="28" width="11.28515625" customWidth="1"/>
    <col min="29" max="29" width="10.7109375" customWidth="1"/>
  </cols>
  <sheetData>
    <row r="1" spans="1:33" ht="18.75" x14ac:dyDescent="0.3">
      <c r="A1" s="1" t="s">
        <v>0</v>
      </c>
      <c r="B1" s="1"/>
      <c r="C1" s="1"/>
    </row>
    <row r="2" spans="1:33" ht="18.75" x14ac:dyDescent="0.3">
      <c r="A2" s="1" t="s">
        <v>1</v>
      </c>
      <c r="B2" s="1"/>
      <c r="C2" s="1" t="s">
        <v>133</v>
      </c>
    </row>
    <row r="3" spans="1:33" ht="18.75" x14ac:dyDescent="0.3">
      <c r="A3" s="1"/>
      <c r="B3" s="1"/>
      <c r="C3" s="1"/>
    </row>
    <row r="4" spans="1:33" ht="18.75" x14ac:dyDescent="0.3">
      <c r="A4" s="1" t="s">
        <v>40</v>
      </c>
      <c r="B4" s="1"/>
      <c r="C4" s="1"/>
      <c r="H4" s="76"/>
      <c r="I4" s="76"/>
      <c r="J4" s="76"/>
      <c r="K4" s="76"/>
      <c r="L4" s="76"/>
      <c r="M4" s="76"/>
      <c r="N4" s="77"/>
      <c r="P4" s="75" t="s">
        <v>107</v>
      </c>
      <c r="Q4" s="76"/>
      <c r="R4" s="76"/>
      <c r="S4" s="76"/>
      <c r="T4" s="76"/>
      <c r="U4" s="76"/>
      <c r="V4" s="77"/>
    </row>
    <row r="5" spans="1:33" ht="18.75" x14ac:dyDescent="0.3">
      <c r="A5" s="2"/>
      <c r="B5" s="2"/>
      <c r="C5" s="3"/>
      <c r="D5" s="3"/>
      <c r="E5" s="3"/>
      <c r="F5" s="4"/>
      <c r="G5" s="12"/>
      <c r="H5" s="39"/>
      <c r="I5" s="72" t="s">
        <v>16</v>
      </c>
      <c r="J5" s="73"/>
      <c r="K5" s="73"/>
      <c r="L5" s="74"/>
      <c r="M5" s="5" t="s">
        <v>21</v>
      </c>
      <c r="N5" s="3"/>
      <c r="O5" s="12"/>
      <c r="P5" s="83"/>
      <c r="Q5" s="83"/>
      <c r="R5" s="83"/>
      <c r="S5" s="83"/>
      <c r="T5" s="40"/>
      <c r="U5" s="3"/>
      <c r="V5" s="3"/>
      <c r="W5" s="12"/>
      <c r="X5" s="5" t="s">
        <v>31</v>
      </c>
      <c r="Y5" s="40" t="s">
        <v>22</v>
      </c>
      <c r="Z5" s="21"/>
      <c r="AA5" s="3"/>
      <c r="AB5" s="3"/>
      <c r="AC5" s="3"/>
    </row>
    <row r="6" spans="1:33" ht="15.75" x14ac:dyDescent="0.25">
      <c r="A6" s="6" t="s">
        <v>3</v>
      </c>
      <c r="B6" s="6"/>
      <c r="C6" s="7" t="s">
        <v>5</v>
      </c>
      <c r="D6" s="7" t="s">
        <v>5</v>
      </c>
      <c r="E6" s="7" t="s">
        <v>122</v>
      </c>
      <c r="F6" s="7" t="s">
        <v>122</v>
      </c>
      <c r="G6" s="13"/>
      <c r="H6" s="7" t="s">
        <v>12</v>
      </c>
      <c r="I6" s="7" t="s">
        <v>18</v>
      </c>
      <c r="J6" s="7" t="s">
        <v>19</v>
      </c>
      <c r="K6" s="7" t="s">
        <v>17</v>
      </c>
      <c r="L6" s="7" t="s">
        <v>20</v>
      </c>
      <c r="M6" s="7" t="s">
        <v>9</v>
      </c>
      <c r="N6" s="8" t="s">
        <v>22</v>
      </c>
      <c r="O6" s="17"/>
      <c r="P6" s="8" t="s">
        <v>12</v>
      </c>
      <c r="Q6" s="8" t="s">
        <v>26</v>
      </c>
      <c r="R6" s="8" t="s">
        <v>28</v>
      </c>
      <c r="S6" s="8" t="s">
        <v>42</v>
      </c>
      <c r="T6" s="8" t="s">
        <v>132</v>
      </c>
      <c r="U6" s="8" t="s">
        <v>17</v>
      </c>
      <c r="V6" s="8" t="s">
        <v>22</v>
      </c>
      <c r="W6" s="19"/>
      <c r="X6" s="8" t="s">
        <v>32</v>
      </c>
      <c r="Y6" s="8" t="s">
        <v>32</v>
      </c>
      <c r="Z6" s="19"/>
      <c r="AA6" s="8" t="s">
        <v>121</v>
      </c>
      <c r="AB6" s="8" t="s">
        <v>119</v>
      </c>
      <c r="AC6" s="8" t="s">
        <v>53</v>
      </c>
    </row>
    <row r="7" spans="1:33" ht="15.75" x14ac:dyDescent="0.25">
      <c r="A7" s="9" t="s">
        <v>4</v>
      </c>
      <c r="B7" s="9" t="s">
        <v>33</v>
      </c>
      <c r="C7" s="10" t="s">
        <v>6</v>
      </c>
      <c r="D7" s="10" t="s">
        <v>7</v>
      </c>
      <c r="E7" s="10" t="s">
        <v>5</v>
      </c>
      <c r="F7" s="10" t="s">
        <v>123</v>
      </c>
      <c r="G7" s="14"/>
      <c r="H7" s="10" t="s">
        <v>15</v>
      </c>
      <c r="I7" s="9"/>
      <c r="J7" s="9"/>
      <c r="K7" s="9"/>
      <c r="L7" s="9"/>
      <c r="M7" s="9"/>
      <c r="N7" s="11" t="s">
        <v>23</v>
      </c>
      <c r="O7" s="18"/>
      <c r="P7" s="11" t="s">
        <v>15</v>
      </c>
      <c r="Q7" s="11" t="s">
        <v>27</v>
      </c>
      <c r="R7" s="11"/>
      <c r="S7" s="11" t="s">
        <v>29</v>
      </c>
      <c r="T7" s="11" t="s">
        <v>118</v>
      </c>
      <c r="U7" s="11" t="s">
        <v>118</v>
      </c>
      <c r="V7" s="11" t="s">
        <v>38</v>
      </c>
      <c r="W7" s="20"/>
      <c r="X7" s="11" t="s">
        <v>36</v>
      </c>
      <c r="Y7" s="11" t="s">
        <v>120</v>
      </c>
      <c r="Z7" s="20"/>
      <c r="AA7" s="11"/>
      <c r="AB7" s="11"/>
      <c r="AC7" s="11"/>
    </row>
    <row r="8" spans="1:33" ht="24.95" customHeight="1" x14ac:dyDescent="0.25">
      <c r="A8" s="27" t="s">
        <v>54</v>
      </c>
      <c r="B8" s="28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</row>
    <row r="9" spans="1:33" ht="24.95" customHeight="1" x14ac:dyDescent="0.25">
      <c r="A9" s="24">
        <v>457</v>
      </c>
      <c r="B9" s="25" t="s">
        <v>92</v>
      </c>
      <c r="C9" s="42">
        <v>0.375</v>
      </c>
      <c r="D9" s="42">
        <v>0.77430555555555547</v>
      </c>
      <c r="E9" s="42">
        <f>D9-C9</f>
        <v>0.39930555555555547</v>
      </c>
      <c r="F9" s="26">
        <f>9*60+35</f>
        <v>575</v>
      </c>
      <c r="G9" s="22"/>
      <c r="H9" s="26">
        <v>0</v>
      </c>
      <c r="I9" s="26"/>
      <c r="J9" s="26"/>
      <c r="K9" s="26"/>
      <c r="L9" s="26"/>
      <c r="M9" s="26"/>
      <c r="N9" s="26">
        <f>SUM(H9:M9)</f>
        <v>0</v>
      </c>
      <c r="O9" s="22"/>
      <c r="P9" s="26">
        <v>30</v>
      </c>
      <c r="Q9" s="26"/>
      <c r="R9" s="59">
        <v>0</v>
      </c>
      <c r="S9" s="26">
        <v>16</v>
      </c>
      <c r="T9" s="59">
        <v>0</v>
      </c>
      <c r="U9" s="26">
        <v>4</v>
      </c>
      <c r="V9" s="26">
        <f>SUM(P9:U9)</f>
        <v>50</v>
      </c>
      <c r="W9" s="22"/>
      <c r="X9" s="26">
        <f>V9-N9</f>
        <v>50</v>
      </c>
      <c r="Y9" s="26">
        <f>F9-X9</f>
        <v>525</v>
      </c>
      <c r="Z9" s="22"/>
      <c r="AA9" s="26">
        <f>ROUNDDOWN(Y9/60,0.1)</f>
        <v>8</v>
      </c>
      <c r="AB9" s="57">
        <f>Y9-AA9*60</f>
        <v>45</v>
      </c>
      <c r="AC9" s="26">
        <v>2</v>
      </c>
      <c r="AD9" s="43"/>
      <c r="AE9" s="43"/>
      <c r="AF9" s="43"/>
      <c r="AG9" s="43"/>
    </row>
    <row r="10" spans="1:33" ht="24.95" customHeight="1" x14ac:dyDescent="0.25">
      <c r="A10" s="24">
        <v>458</v>
      </c>
      <c r="B10" s="25" t="s">
        <v>93</v>
      </c>
      <c r="C10" s="42">
        <v>0.375</v>
      </c>
      <c r="D10" s="42">
        <v>0.8534722222222223</v>
      </c>
      <c r="E10" s="42">
        <f>D10-C10</f>
        <v>0.4784722222222223</v>
      </c>
      <c r="F10" s="26">
        <f>11*60+29</f>
        <v>689</v>
      </c>
      <c r="G10" s="22"/>
      <c r="H10" s="26">
        <v>0</v>
      </c>
      <c r="I10" s="26"/>
      <c r="J10" s="26"/>
      <c r="K10" s="26"/>
      <c r="L10" s="26"/>
      <c r="M10" s="26"/>
      <c r="N10" s="26">
        <f>SUM(H10:M10)</f>
        <v>0</v>
      </c>
      <c r="O10" s="22"/>
      <c r="P10" s="26">
        <v>30</v>
      </c>
      <c r="Q10" s="26">
        <v>120</v>
      </c>
      <c r="R10" s="59">
        <v>0</v>
      </c>
      <c r="S10" s="26">
        <v>44</v>
      </c>
      <c r="T10" s="59">
        <v>60</v>
      </c>
      <c r="U10" s="26">
        <v>11</v>
      </c>
      <c r="V10" s="26">
        <f>SUM(P10:U10)</f>
        <v>265</v>
      </c>
      <c r="W10" s="22"/>
      <c r="X10" s="26">
        <f>V10-N10</f>
        <v>265</v>
      </c>
      <c r="Y10" s="26">
        <f>F10-X10</f>
        <v>424</v>
      </c>
      <c r="Z10" s="22"/>
      <c r="AA10" s="26">
        <f>ROUNDDOWN(Y10/60,0.1)</f>
        <v>7</v>
      </c>
      <c r="AB10" s="57">
        <f>Y10-AA10*60</f>
        <v>4</v>
      </c>
      <c r="AC10" s="26">
        <v>1</v>
      </c>
      <c r="AD10" s="43"/>
      <c r="AE10" s="43"/>
      <c r="AF10" s="43"/>
      <c r="AG10" s="43"/>
    </row>
    <row r="11" spans="1:33" ht="24.95" customHeight="1" x14ac:dyDescent="0.25">
      <c r="A11" s="27" t="s">
        <v>61</v>
      </c>
      <c r="B11" s="28"/>
      <c r="C11" s="22"/>
      <c r="D11" s="60"/>
      <c r="E11" s="60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43"/>
      <c r="AE11" s="43"/>
      <c r="AF11" s="43"/>
      <c r="AG11" s="43"/>
    </row>
    <row r="12" spans="1:33" ht="24.95" customHeight="1" x14ac:dyDescent="0.25">
      <c r="A12" s="24">
        <v>455</v>
      </c>
      <c r="B12" s="25" t="s">
        <v>97</v>
      </c>
      <c r="C12" s="42">
        <v>0.35416666666666669</v>
      </c>
      <c r="D12" s="42">
        <v>0.7715277777777777</v>
      </c>
      <c r="E12" s="42">
        <f>D12-C12</f>
        <v>0.41736111111111102</v>
      </c>
      <c r="F12" s="26">
        <f>10*60+1</f>
        <v>601</v>
      </c>
      <c r="G12" s="22"/>
      <c r="H12" s="26">
        <v>0</v>
      </c>
      <c r="I12" s="26"/>
      <c r="J12" s="26"/>
      <c r="K12" s="26"/>
      <c r="L12" s="26"/>
      <c r="M12" s="26"/>
      <c r="N12" s="26">
        <f>SUM(H12:M12)</f>
        <v>0</v>
      </c>
      <c r="O12" s="22"/>
      <c r="P12" s="26">
        <v>30</v>
      </c>
      <c r="Q12" s="26">
        <v>90</v>
      </c>
      <c r="R12" s="26">
        <v>70</v>
      </c>
      <c r="S12" s="26">
        <v>29</v>
      </c>
      <c r="T12" s="26">
        <v>5</v>
      </c>
      <c r="U12" s="26">
        <v>0</v>
      </c>
      <c r="V12" s="26">
        <f>SUM(P12:U12)</f>
        <v>224</v>
      </c>
      <c r="W12" s="22"/>
      <c r="X12" s="26">
        <f>V12-N12</f>
        <v>224</v>
      </c>
      <c r="Y12" s="26">
        <f>F12-X12</f>
        <v>377</v>
      </c>
      <c r="Z12" s="22"/>
      <c r="AA12" s="26">
        <f>ROUNDDOWN(Y12/60,0.1)</f>
        <v>6</v>
      </c>
      <c r="AB12" s="57">
        <f>Y12-AA12*60</f>
        <v>17</v>
      </c>
      <c r="AC12" s="26">
        <v>1</v>
      </c>
      <c r="AD12" s="43"/>
      <c r="AE12" s="43"/>
      <c r="AF12" s="43"/>
      <c r="AG12" s="43"/>
    </row>
    <row r="13" spans="1:33" ht="24.95" customHeight="1" x14ac:dyDescent="0.25">
      <c r="A13" s="24">
        <v>459</v>
      </c>
      <c r="B13" s="25" t="s">
        <v>94</v>
      </c>
      <c r="C13" s="42">
        <v>0.35416666666666669</v>
      </c>
      <c r="D13" s="42">
        <v>0.82777777777777783</v>
      </c>
      <c r="E13" s="42">
        <f>D13-C13</f>
        <v>0.47361111111111115</v>
      </c>
      <c r="F13" s="26">
        <f>11*60+22</f>
        <v>682</v>
      </c>
      <c r="G13" s="22"/>
      <c r="H13" s="26">
        <v>0</v>
      </c>
      <c r="I13" s="26"/>
      <c r="J13" s="26"/>
      <c r="K13" s="26"/>
      <c r="L13" s="26"/>
      <c r="M13" s="26"/>
      <c r="N13" s="26">
        <f>SUM(H13:M13)</f>
        <v>0</v>
      </c>
      <c r="O13" s="22"/>
      <c r="P13" s="26">
        <v>30</v>
      </c>
      <c r="Q13" s="26">
        <v>120</v>
      </c>
      <c r="R13" s="26">
        <v>90</v>
      </c>
      <c r="S13" s="26">
        <v>35</v>
      </c>
      <c r="T13" s="26">
        <v>10</v>
      </c>
      <c r="U13" s="26">
        <v>3</v>
      </c>
      <c r="V13" s="26">
        <f>SUM(P13:U13)</f>
        <v>288</v>
      </c>
      <c r="W13" s="22"/>
      <c r="X13" s="26">
        <f>V13-N13</f>
        <v>288</v>
      </c>
      <c r="Y13" s="26">
        <f>F13-X13</f>
        <v>394</v>
      </c>
      <c r="Z13" s="22"/>
      <c r="AA13" s="26">
        <f>ROUNDDOWN(Y13/60,0.1)</f>
        <v>6</v>
      </c>
      <c r="AB13" s="57">
        <f>Y13-AA13*60</f>
        <v>34</v>
      </c>
      <c r="AC13" s="26">
        <v>2</v>
      </c>
      <c r="AD13" s="43"/>
      <c r="AE13" s="43"/>
      <c r="AF13" s="43"/>
      <c r="AG13" s="43"/>
    </row>
    <row r="14" spans="1:33" ht="24.95" customHeight="1" x14ac:dyDescent="0.25">
      <c r="A14" s="24">
        <v>412</v>
      </c>
      <c r="B14" s="25" t="s">
        <v>131</v>
      </c>
      <c r="C14" s="42">
        <v>0.35416666666666669</v>
      </c>
      <c r="D14" s="67">
        <v>0.82500000000000007</v>
      </c>
      <c r="E14" s="68">
        <f>D14-C14</f>
        <v>0.47083333333333338</v>
      </c>
      <c r="F14" s="26">
        <f>11*60+18</f>
        <v>678</v>
      </c>
      <c r="G14" s="22"/>
      <c r="H14" s="26">
        <v>0</v>
      </c>
      <c r="I14" s="26"/>
      <c r="J14" s="26"/>
      <c r="K14" s="26"/>
      <c r="L14" s="26"/>
      <c r="M14" s="26"/>
      <c r="N14" s="26">
        <f>SUM(H14:M14)</f>
        <v>0</v>
      </c>
      <c r="O14" s="22"/>
      <c r="P14" s="26">
        <v>30</v>
      </c>
      <c r="Q14" s="26">
        <v>120</v>
      </c>
      <c r="R14" s="59">
        <v>0</v>
      </c>
      <c r="S14" s="26">
        <v>31</v>
      </c>
      <c r="T14" s="26">
        <v>52</v>
      </c>
      <c r="U14" s="26">
        <v>0</v>
      </c>
      <c r="V14" s="26">
        <f>SUM(P14:U14)</f>
        <v>233</v>
      </c>
      <c r="W14" s="22"/>
      <c r="X14" s="26">
        <f>V14-N14</f>
        <v>233</v>
      </c>
      <c r="Y14" s="26">
        <f>F14-X14</f>
        <v>445</v>
      </c>
      <c r="Z14" s="22"/>
      <c r="AA14" s="26">
        <f>ROUNDDOWN(Y14/60,0.1)</f>
        <v>7</v>
      </c>
      <c r="AB14" s="57">
        <f>Y14-AA14*60</f>
        <v>25</v>
      </c>
      <c r="AC14" s="26">
        <v>3</v>
      </c>
      <c r="AD14" s="43"/>
      <c r="AE14" s="43"/>
      <c r="AF14" s="43"/>
      <c r="AG14" s="43"/>
    </row>
    <row r="15" spans="1:33" ht="24.95" customHeight="1" x14ac:dyDescent="0.25">
      <c r="A15" s="24">
        <v>460</v>
      </c>
      <c r="B15" s="25" t="s">
        <v>95</v>
      </c>
      <c r="C15" s="42">
        <v>0.35416666666666669</v>
      </c>
      <c r="D15" s="42">
        <v>0.7597222222222223</v>
      </c>
      <c r="E15" s="42">
        <f>D15-C15</f>
        <v>0.40555555555555561</v>
      </c>
      <c r="F15" s="26">
        <f>9*60+44</f>
        <v>584</v>
      </c>
      <c r="G15" s="22"/>
      <c r="H15" s="26">
        <v>180</v>
      </c>
      <c r="I15" s="26">
        <v>60</v>
      </c>
      <c r="J15" s="26"/>
      <c r="K15" s="26"/>
      <c r="L15" s="26"/>
      <c r="M15" s="26"/>
      <c r="N15" s="26">
        <f>SUM(H15:M15)</f>
        <v>240</v>
      </c>
      <c r="O15" s="22"/>
      <c r="P15" s="26">
        <v>30</v>
      </c>
      <c r="Q15" s="26">
        <v>120</v>
      </c>
      <c r="R15" s="59">
        <v>0</v>
      </c>
      <c r="S15" s="26">
        <v>44</v>
      </c>
      <c r="T15" s="26">
        <v>0</v>
      </c>
      <c r="U15" s="26">
        <v>17</v>
      </c>
      <c r="V15" s="26">
        <f>SUM(P15:U15)</f>
        <v>211</v>
      </c>
      <c r="W15" s="22"/>
      <c r="X15" s="26">
        <f>V15-N15</f>
        <v>-29</v>
      </c>
      <c r="Y15" s="26">
        <f>F15-X15</f>
        <v>613</v>
      </c>
      <c r="Z15" s="22"/>
      <c r="AA15" s="26">
        <f>ROUNDDOWN(Y15/60,0.1)</f>
        <v>10</v>
      </c>
      <c r="AB15" s="57">
        <f>Y15-AA15*60</f>
        <v>13</v>
      </c>
      <c r="AC15" s="26">
        <v>4</v>
      </c>
      <c r="AD15" s="43"/>
      <c r="AE15" s="43"/>
      <c r="AF15" s="43"/>
      <c r="AG15" s="43"/>
    </row>
    <row r="16" spans="1:33" ht="24.95" customHeight="1" x14ac:dyDescent="0.25">
      <c r="A16" s="32">
        <v>461</v>
      </c>
      <c r="B16" s="61" t="s">
        <v>108</v>
      </c>
      <c r="C16" s="42">
        <v>0.35416666666666669</v>
      </c>
      <c r="D16" s="84" t="s">
        <v>129</v>
      </c>
      <c r="E16" s="85"/>
      <c r="F16" s="26"/>
      <c r="G16" s="22"/>
      <c r="H16" s="26"/>
      <c r="I16" s="26"/>
      <c r="J16" s="26"/>
      <c r="K16" s="26"/>
      <c r="L16" s="26"/>
      <c r="M16" s="26"/>
      <c r="N16" s="26">
        <f>SUM(H16:M16)</f>
        <v>0</v>
      </c>
      <c r="O16" s="22"/>
      <c r="P16" s="26"/>
      <c r="Q16" s="26"/>
      <c r="R16" s="26"/>
      <c r="S16" s="26"/>
      <c r="T16" s="26"/>
      <c r="U16" s="26"/>
      <c r="V16" s="26">
        <f>SUM(P16:U16)</f>
        <v>0</v>
      </c>
      <c r="W16" s="22"/>
      <c r="X16" s="26">
        <f>V16-N16</f>
        <v>0</v>
      </c>
      <c r="Y16" s="26">
        <f>F16-X16</f>
        <v>0</v>
      </c>
      <c r="Z16" s="22"/>
      <c r="AA16" s="26"/>
      <c r="AB16" s="57"/>
      <c r="AC16" s="26">
        <v>5</v>
      </c>
      <c r="AD16" s="43"/>
      <c r="AE16" s="43"/>
      <c r="AF16" s="43"/>
      <c r="AG16" s="43"/>
    </row>
    <row r="17" spans="1:37" ht="24.95" customHeight="1" x14ac:dyDescent="0.25">
      <c r="A17" s="27" t="s">
        <v>96</v>
      </c>
      <c r="B17" s="28"/>
      <c r="C17" s="22"/>
      <c r="D17" s="60"/>
      <c r="E17" s="60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43"/>
      <c r="AE17" s="43"/>
      <c r="AF17" s="43"/>
      <c r="AG17" s="43"/>
    </row>
    <row r="18" spans="1:37" ht="24.95" customHeight="1" x14ac:dyDescent="0.25">
      <c r="A18" s="24">
        <v>239</v>
      </c>
      <c r="B18" s="25" t="s">
        <v>102</v>
      </c>
      <c r="C18" s="42">
        <v>0.35416666666666669</v>
      </c>
      <c r="D18" s="42">
        <v>0.81666666666666676</v>
      </c>
      <c r="E18" s="42">
        <f>D18-C18</f>
        <v>0.46250000000000008</v>
      </c>
      <c r="F18" s="26">
        <f>11*60+6</f>
        <v>666</v>
      </c>
      <c r="G18" s="22"/>
      <c r="H18" s="26">
        <v>180</v>
      </c>
      <c r="I18" s="26"/>
      <c r="J18" s="26"/>
      <c r="K18" s="26"/>
      <c r="L18" s="26"/>
      <c r="M18" s="26"/>
      <c r="N18" s="26">
        <f>SUM(H18:M18)</f>
        <v>180</v>
      </c>
      <c r="O18" s="22"/>
      <c r="P18" s="26">
        <v>30</v>
      </c>
      <c r="Q18" s="26">
        <v>60</v>
      </c>
      <c r="R18" s="26">
        <v>45</v>
      </c>
      <c r="S18" s="26">
        <v>12</v>
      </c>
      <c r="T18" s="26">
        <v>16</v>
      </c>
      <c r="U18" s="26">
        <v>0</v>
      </c>
      <c r="V18" s="26">
        <f>SUM(P18:U18)</f>
        <v>163</v>
      </c>
      <c r="W18" s="22"/>
      <c r="X18" s="26">
        <f>V18-N18</f>
        <v>-17</v>
      </c>
      <c r="Y18" s="26">
        <f>F18-X18</f>
        <v>683</v>
      </c>
      <c r="Z18" s="22"/>
      <c r="AA18" s="26">
        <f>ROUNDDOWN(Y18/60,0.1)</f>
        <v>11</v>
      </c>
      <c r="AB18" s="57">
        <f>Y18-AA18*60</f>
        <v>23</v>
      </c>
      <c r="AC18" s="26">
        <v>1</v>
      </c>
      <c r="AD18" s="43"/>
      <c r="AE18" s="43"/>
      <c r="AF18" s="43"/>
      <c r="AG18" s="43"/>
    </row>
    <row r="19" spans="1:37" ht="24.95" customHeight="1" x14ac:dyDescent="0.25">
      <c r="A19" s="24">
        <v>235</v>
      </c>
      <c r="B19" s="25" t="s">
        <v>98</v>
      </c>
      <c r="C19" s="42">
        <v>0.35416666666666669</v>
      </c>
      <c r="D19" s="42">
        <v>0.84722222222222221</v>
      </c>
      <c r="E19" s="42">
        <f>D19-C19</f>
        <v>0.49305555555555552</v>
      </c>
      <c r="F19" s="26">
        <f>11*60+50</f>
        <v>710</v>
      </c>
      <c r="G19" s="22"/>
      <c r="H19" s="26">
        <v>0</v>
      </c>
      <c r="I19" s="26">
        <v>60</v>
      </c>
      <c r="J19" s="26">
        <v>60</v>
      </c>
      <c r="K19" s="26"/>
      <c r="L19" s="26"/>
      <c r="M19" s="26"/>
      <c r="N19" s="26">
        <f>SUM(H19:M19)</f>
        <v>120</v>
      </c>
      <c r="O19" s="22"/>
      <c r="P19" s="26">
        <v>0</v>
      </c>
      <c r="Q19" s="26">
        <v>60</v>
      </c>
      <c r="R19" s="26">
        <v>0</v>
      </c>
      <c r="S19" s="26">
        <v>6</v>
      </c>
      <c r="T19" s="59">
        <v>60</v>
      </c>
      <c r="U19" s="26">
        <v>3</v>
      </c>
      <c r="V19" s="26">
        <f>SUM(P19:U19)</f>
        <v>129</v>
      </c>
      <c r="W19" s="22"/>
      <c r="X19" s="26">
        <f>V19-N19</f>
        <v>9</v>
      </c>
      <c r="Y19" s="26">
        <f>F19-X19</f>
        <v>701</v>
      </c>
      <c r="Z19" s="22"/>
      <c r="AA19" s="26">
        <f>ROUNDDOWN(Y19/60,0.1)</f>
        <v>11</v>
      </c>
      <c r="AB19" s="57">
        <f>Y19-AA19*60</f>
        <v>41</v>
      </c>
      <c r="AC19" s="26">
        <v>2</v>
      </c>
      <c r="AD19" s="43"/>
      <c r="AE19" s="43"/>
      <c r="AF19" s="43"/>
      <c r="AG19" s="43"/>
    </row>
    <row r="20" spans="1:37" ht="24.95" customHeight="1" x14ac:dyDescent="0.25">
      <c r="A20" s="27" t="s">
        <v>71</v>
      </c>
      <c r="B20" s="28"/>
      <c r="C20" s="22"/>
      <c r="D20" s="60"/>
      <c r="E20" s="60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43"/>
      <c r="AE20" s="43"/>
      <c r="AF20" s="43"/>
      <c r="AG20" s="43"/>
    </row>
    <row r="21" spans="1:37" ht="24.95" customHeight="1" x14ac:dyDescent="0.25">
      <c r="A21" s="24">
        <v>240</v>
      </c>
      <c r="B21" s="25" t="s">
        <v>103</v>
      </c>
      <c r="C21" s="42">
        <v>0.375</v>
      </c>
      <c r="D21" s="42">
        <v>0.86388888888888893</v>
      </c>
      <c r="E21" s="68">
        <f>D21-C21</f>
        <v>0.48888888888888893</v>
      </c>
      <c r="F21" s="26">
        <f>11*60+44</f>
        <v>704</v>
      </c>
      <c r="G21" s="22"/>
      <c r="H21" s="26">
        <v>180</v>
      </c>
      <c r="I21" s="26">
        <v>60</v>
      </c>
      <c r="J21" s="26">
        <v>60</v>
      </c>
      <c r="K21" s="26"/>
      <c r="L21" s="26"/>
      <c r="M21" s="26"/>
      <c r="N21" s="26">
        <f>SUM(H21:M21)</f>
        <v>300</v>
      </c>
      <c r="O21" s="22"/>
      <c r="P21" s="26">
        <v>30</v>
      </c>
      <c r="Q21" s="26">
        <v>0</v>
      </c>
      <c r="R21" s="26">
        <v>0</v>
      </c>
      <c r="S21" s="26">
        <v>20</v>
      </c>
      <c r="T21" s="26"/>
      <c r="U21" s="26">
        <v>0</v>
      </c>
      <c r="V21" s="26">
        <f>SUM(P21:U21)</f>
        <v>50</v>
      </c>
      <c r="W21" s="22"/>
      <c r="X21" s="26">
        <f>V21-N21</f>
        <v>-250</v>
      </c>
      <c r="Y21" s="26">
        <f>F21-X21</f>
        <v>954</v>
      </c>
      <c r="Z21" s="22"/>
      <c r="AA21" s="26">
        <f>ROUNDDOWN(Y21/60,0.1)</f>
        <v>15</v>
      </c>
      <c r="AB21" s="57">
        <f>Y21-AA21*60</f>
        <v>54</v>
      </c>
      <c r="AC21" s="26">
        <v>1</v>
      </c>
      <c r="AD21" s="43"/>
      <c r="AE21" s="43"/>
      <c r="AF21" s="43"/>
      <c r="AG21" s="43"/>
      <c r="AH21" s="43"/>
      <c r="AI21" s="43"/>
      <c r="AJ21" s="43"/>
      <c r="AK21" s="43"/>
    </row>
    <row r="22" spans="1:37" ht="24.95" customHeight="1" x14ac:dyDescent="0.25">
      <c r="A22" s="24">
        <v>236</v>
      </c>
      <c r="B22" s="25" t="s">
        <v>99</v>
      </c>
      <c r="C22" s="42">
        <v>0.375</v>
      </c>
      <c r="D22" s="84" t="s">
        <v>129</v>
      </c>
      <c r="E22" s="85"/>
      <c r="F22" s="26"/>
      <c r="G22" s="22"/>
      <c r="H22" s="26"/>
      <c r="I22" s="26"/>
      <c r="J22" s="26"/>
      <c r="K22" s="26"/>
      <c r="L22" s="26"/>
      <c r="M22" s="26"/>
      <c r="N22" s="26">
        <f>SUM(H22:M22)</f>
        <v>0</v>
      </c>
      <c r="O22" s="22"/>
      <c r="P22" s="26">
        <v>0</v>
      </c>
      <c r="Q22" s="26">
        <v>0</v>
      </c>
      <c r="R22" s="26">
        <v>0</v>
      </c>
      <c r="S22" s="26"/>
      <c r="T22" s="26"/>
      <c r="U22" s="26"/>
      <c r="V22" s="26">
        <f>SUM(P22:U22)</f>
        <v>0</v>
      </c>
      <c r="W22" s="22"/>
      <c r="X22" s="26">
        <f>V22-N22</f>
        <v>0</v>
      </c>
      <c r="Y22" s="26">
        <f>F22-X22</f>
        <v>0</v>
      </c>
      <c r="Z22" s="22"/>
      <c r="AA22" s="26"/>
      <c r="AB22" s="57"/>
      <c r="AC22" s="26">
        <v>2</v>
      </c>
      <c r="AD22" s="43"/>
      <c r="AE22" s="43"/>
      <c r="AF22" s="43"/>
      <c r="AG22" s="43"/>
      <c r="AH22" s="43"/>
      <c r="AI22" s="43"/>
      <c r="AJ22" s="43"/>
      <c r="AK22" s="43"/>
    </row>
    <row r="23" spans="1:37" ht="24.95" customHeight="1" x14ac:dyDescent="0.25">
      <c r="A23" s="24">
        <v>237</v>
      </c>
      <c r="B23" s="25" t="s">
        <v>100</v>
      </c>
      <c r="C23" s="42">
        <v>0.375</v>
      </c>
      <c r="D23" s="84" t="s">
        <v>129</v>
      </c>
      <c r="E23" s="85"/>
      <c r="F23" s="26"/>
      <c r="G23" s="22"/>
      <c r="H23" s="26"/>
      <c r="I23" s="26"/>
      <c r="J23" s="26"/>
      <c r="K23" s="26"/>
      <c r="L23" s="26"/>
      <c r="M23" s="26"/>
      <c r="N23" s="26">
        <f>SUM(H23:M23)</f>
        <v>0</v>
      </c>
      <c r="O23" s="22"/>
      <c r="P23" s="26">
        <v>0</v>
      </c>
      <c r="Q23" s="26">
        <v>0</v>
      </c>
      <c r="R23" s="26">
        <v>0</v>
      </c>
      <c r="S23" s="26"/>
      <c r="T23" s="26"/>
      <c r="U23" s="26"/>
      <c r="V23" s="26">
        <f>SUM(P23:U23)</f>
        <v>0</v>
      </c>
      <c r="W23" s="22"/>
      <c r="X23" s="26">
        <f>V23-N23</f>
        <v>0</v>
      </c>
      <c r="Y23" s="26">
        <f>F23-X23</f>
        <v>0</v>
      </c>
      <c r="Z23" s="22"/>
      <c r="AA23" s="26"/>
      <c r="AB23" s="57"/>
      <c r="AC23" s="26">
        <v>3</v>
      </c>
      <c r="AD23" s="43"/>
      <c r="AE23" s="43"/>
      <c r="AF23" s="43"/>
      <c r="AG23" s="43"/>
      <c r="AH23" s="43"/>
      <c r="AI23" s="43"/>
      <c r="AJ23" s="43"/>
      <c r="AK23" s="43"/>
    </row>
    <row r="24" spans="1:37" ht="24.95" customHeight="1" x14ac:dyDescent="0.25">
      <c r="A24" s="24">
        <v>238</v>
      </c>
      <c r="B24" s="25" t="s">
        <v>101</v>
      </c>
      <c r="C24" s="42">
        <v>0.375</v>
      </c>
      <c r="D24" s="84" t="s">
        <v>129</v>
      </c>
      <c r="E24" s="85"/>
      <c r="F24" s="26"/>
      <c r="G24" s="22"/>
      <c r="H24" s="26"/>
      <c r="I24" s="26"/>
      <c r="J24" s="26"/>
      <c r="K24" s="26"/>
      <c r="L24" s="26"/>
      <c r="M24" s="26"/>
      <c r="N24" s="26">
        <f>SUM(H24:M24)</f>
        <v>0</v>
      </c>
      <c r="O24" s="22"/>
      <c r="P24" s="26">
        <v>0</v>
      </c>
      <c r="Q24" s="26">
        <v>60</v>
      </c>
      <c r="R24" s="26">
        <v>25</v>
      </c>
      <c r="S24" s="26">
        <v>23</v>
      </c>
      <c r="T24" s="26">
        <v>15</v>
      </c>
      <c r="U24" s="26">
        <v>3</v>
      </c>
      <c r="V24" s="26">
        <f>SUM(P24:U24)</f>
        <v>126</v>
      </c>
      <c r="W24" s="22"/>
      <c r="X24" s="26">
        <f>V24-N24</f>
        <v>126</v>
      </c>
      <c r="Y24" s="26">
        <f>F24-X24</f>
        <v>-126</v>
      </c>
      <c r="Z24" s="22"/>
      <c r="AA24" s="26"/>
      <c r="AB24" s="57"/>
      <c r="AC24" s="26">
        <v>3</v>
      </c>
      <c r="AD24" s="43"/>
      <c r="AE24" s="43"/>
      <c r="AF24" s="43"/>
      <c r="AG24" s="43"/>
      <c r="AH24" s="43"/>
      <c r="AI24" s="43"/>
      <c r="AJ24" s="43"/>
      <c r="AK24" s="43"/>
    </row>
    <row r="25" spans="1:37" ht="24.95" customHeight="1" x14ac:dyDescent="0.25">
      <c r="A25" s="27" t="s">
        <v>72</v>
      </c>
      <c r="B25" s="28"/>
      <c r="C25" s="22"/>
      <c r="D25" s="60"/>
      <c r="E25" s="60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43"/>
      <c r="AE25" s="43"/>
      <c r="AF25" s="43"/>
      <c r="AG25" s="43"/>
      <c r="AH25" s="43"/>
      <c r="AI25" s="43"/>
      <c r="AJ25" s="43"/>
      <c r="AK25" s="43"/>
    </row>
    <row r="26" spans="1:37" ht="24.95" customHeight="1" x14ac:dyDescent="0.25">
      <c r="A26" s="24">
        <v>241</v>
      </c>
      <c r="B26" s="25" t="s">
        <v>104</v>
      </c>
      <c r="C26" s="42">
        <v>0.375</v>
      </c>
      <c r="D26" s="42">
        <v>0.84722222222222221</v>
      </c>
      <c r="E26" s="42">
        <f t="shared" ref="E26:E27" si="0">D26-C26</f>
        <v>0.47222222222222221</v>
      </c>
      <c r="F26" s="26">
        <f>11*60+20</f>
        <v>680</v>
      </c>
      <c r="G26" s="22"/>
      <c r="H26" s="26">
        <v>0</v>
      </c>
      <c r="I26" s="26">
        <v>60</v>
      </c>
      <c r="J26" s="26"/>
      <c r="K26" s="26"/>
      <c r="L26" s="26"/>
      <c r="M26" s="26"/>
      <c r="N26" s="26">
        <f t="shared" ref="N26:N30" si="1">SUM(H26:M26)</f>
        <v>60</v>
      </c>
      <c r="O26" s="22"/>
      <c r="P26" s="26">
        <v>30</v>
      </c>
      <c r="Q26" s="26"/>
      <c r="R26" s="26">
        <v>15</v>
      </c>
      <c r="S26" s="26">
        <v>23</v>
      </c>
      <c r="T26" s="26"/>
      <c r="U26" s="26">
        <v>15</v>
      </c>
      <c r="V26" s="26">
        <f t="shared" ref="V26:V30" si="2">SUM(P26:U26)</f>
        <v>83</v>
      </c>
      <c r="W26" s="22"/>
      <c r="X26" s="26">
        <f t="shared" ref="X26:X30" si="3">V26-N26</f>
        <v>23</v>
      </c>
      <c r="Y26" s="26">
        <f t="shared" ref="Y26:Y30" si="4">F26-X26</f>
        <v>657</v>
      </c>
      <c r="Z26" s="22"/>
      <c r="AA26" s="26">
        <f t="shared" ref="AA26:AA27" si="5">ROUNDDOWN(Y26/60,0.1)</f>
        <v>10</v>
      </c>
      <c r="AB26" s="57">
        <f t="shared" ref="AB26:AB27" si="6">Y26-AA26*60</f>
        <v>57</v>
      </c>
      <c r="AC26" s="26">
        <v>1</v>
      </c>
      <c r="AD26" s="43"/>
      <c r="AE26" s="43"/>
      <c r="AF26" s="43"/>
      <c r="AG26" s="43"/>
      <c r="AH26" s="43"/>
      <c r="AI26" s="43"/>
      <c r="AJ26" s="43"/>
      <c r="AK26" s="43"/>
    </row>
    <row r="27" spans="1:37" ht="24.95" customHeight="1" x14ac:dyDescent="0.25">
      <c r="A27" s="24">
        <v>242</v>
      </c>
      <c r="B27" s="25" t="s">
        <v>105</v>
      </c>
      <c r="C27" s="42">
        <v>0.375</v>
      </c>
      <c r="D27" s="42">
        <v>0.84722222222222221</v>
      </c>
      <c r="E27" s="42">
        <f t="shared" si="0"/>
        <v>0.47222222222222221</v>
      </c>
      <c r="F27" s="26">
        <f>11*60+20</f>
        <v>680</v>
      </c>
      <c r="G27" s="22"/>
      <c r="H27" s="26"/>
      <c r="I27" s="26">
        <v>60</v>
      </c>
      <c r="J27" s="26"/>
      <c r="K27" s="26"/>
      <c r="L27" s="26"/>
      <c r="M27" s="26"/>
      <c r="N27" s="26">
        <f t="shared" si="1"/>
        <v>60</v>
      </c>
      <c r="O27" s="22"/>
      <c r="P27" s="26">
        <v>0</v>
      </c>
      <c r="Q27" s="26"/>
      <c r="R27" s="26">
        <v>15</v>
      </c>
      <c r="S27" s="26">
        <v>21</v>
      </c>
      <c r="T27" s="26"/>
      <c r="U27" s="26">
        <v>12</v>
      </c>
      <c r="V27" s="26">
        <f t="shared" si="2"/>
        <v>48</v>
      </c>
      <c r="W27" s="22"/>
      <c r="X27" s="26">
        <f t="shared" si="3"/>
        <v>-12</v>
      </c>
      <c r="Y27" s="26">
        <f t="shared" si="4"/>
        <v>692</v>
      </c>
      <c r="Z27" s="22"/>
      <c r="AA27" s="26">
        <f t="shared" si="5"/>
        <v>11</v>
      </c>
      <c r="AB27" s="57">
        <f t="shared" si="6"/>
        <v>32</v>
      </c>
      <c r="AC27" s="26">
        <v>2</v>
      </c>
      <c r="AD27" s="43"/>
      <c r="AE27" s="43"/>
      <c r="AF27" s="43"/>
      <c r="AG27" s="43"/>
      <c r="AH27" s="43"/>
      <c r="AI27" s="43"/>
      <c r="AJ27" s="43"/>
      <c r="AK27" s="43"/>
    </row>
    <row r="28" spans="1:37" ht="24.95" customHeight="1" x14ac:dyDescent="0.25">
      <c r="A28" s="24">
        <v>243</v>
      </c>
      <c r="B28" s="25" t="s">
        <v>106</v>
      </c>
      <c r="C28" s="42">
        <v>0.375</v>
      </c>
      <c r="D28" s="84" t="s">
        <v>129</v>
      </c>
      <c r="E28" s="85"/>
      <c r="F28" s="26"/>
      <c r="G28" s="22"/>
      <c r="H28" s="26"/>
      <c r="I28" s="26">
        <v>60</v>
      </c>
      <c r="J28" s="26">
        <v>60</v>
      </c>
      <c r="K28" s="26"/>
      <c r="L28" s="26"/>
      <c r="M28" s="26"/>
      <c r="N28" s="26">
        <f t="shared" si="1"/>
        <v>120</v>
      </c>
      <c r="O28" s="22"/>
      <c r="P28" s="26">
        <v>0</v>
      </c>
      <c r="Q28" s="26"/>
      <c r="R28" s="26"/>
      <c r="S28" s="26"/>
      <c r="T28" s="26"/>
      <c r="U28" s="26"/>
      <c r="V28" s="26">
        <f t="shared" si="2"/>
        <v>0</v>
      </c>
      <c r="W28" s="22"/>
      <c r="X28" s="26">
        <f t="shared" si="3"/>
        <v>-120</v>
      </c>
      <c r="Y28" s="26">
        <f t="shared" si="4"/>
        <v>120</v>
      </c>
      <c r="Z28" s="22"/>
      <c r="AA28" s="26"/>
      <c r="AB28" s="57"/>
      <c r="AC28" s="26">
        <v>3</v>
      </c>
      <c r="AD28" s="43"/>
      <c r="AE28" s="43"/>
      <c r="AF28" s="43"/>
      <c r="AG28" s="43"/>
      <c r="AH28" s="43"/>
      <c r="AI28" s="43"/>
      <c r="AJ28" s="43"/>
      <c r="AK28" s="43"/>
    </row>
    <row r="29" spans="1:37" ht="24.95" customHeight="1" x14ac:dyDescent="0.25">
      <c r="A29" s="27" t="s">
        <v>69</v>
      </c>
      <c r="B29" s="28"/>
      <c r="C29" s="22"/>
      <c r="D29" s="60"/>
      <c r="E29" s="60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43"/>
      <c r="AE29" s="43"/>
      <c r="AF29" s="43"/>
      <c r="AG29" s="43"/>
      <c r="AH29" s="43"/>
      <c r="AI29" s="43"/>
      <c r="AJ29" s="43"/>
      <c r="AK29" s="43"/>
    </row>
    <row r="30" spans="1:37" ht="27" customHeight="1" x14ac:dyDescent="0.25">
      <c r="A30" s="24">
        <v>213</v>
      </c>
      <c r="B30" s="38" t="s">
        <v>111</v>
      </c>
      <c r="C30" s="63">
        <v>0.375</v>
      </c>
      <c r="D30" s="69">
        <v>0.74722222222222223</v>
      </c>
      <c r="E30" s="42">
        <f t="shared" ref="E30" si="7">D30-C30</f>
        <v>0.37222222222222223</v>
      </c>
      <c r="F30" s="64">
        <f>8*60+56</f>
        <v>536</v>
      </c>
      <c r="G30" s="65"/>
      <c r="H30" s="64">
        <v>0</v>
      </c>
      <c r="I30" s="64">
        <v>60</v>
      </c>
      <c r="J30" s="64">
        <v>60</v>
      </c>
      <c r="K30" s="64"/>
      <c r="L30" s="64"/>
      <c r="M30" s="64"/>
      <c r="N30" s="26">
        <f t="shared" si="1"/>
        <v>120</v>
      </c>
      <c r="O30" s="65"/>
      <c r="P30" s="64">
        <v>30</v>
      </c>
      <c r="Q30" s="64">
        <v>0</v>
      </c>
      <c r="R30" s="64">
        <v>0</v>
      </c>
      <c r="S30" s="64">
        <v>23</v>
      </c>
      <c r="T30" s="64"/>
      <c r="U30" s="64">
        <v>0</v>
      </c>
      <c r="V30" s="26">
        <f t="shared" si="2"/>
        <v>53</v>
      </c>
      <c r="W30" s="65"/>
      <c r="X30" s="26">
        <f t="shared" si="3"/>
        <v>-67</v>
      </c>
      <c r="Y30" s="26">
        <f t="shared" si="4"/>
        <v>603</v>
      </c>
      <c r="Z30" s="65"/>
      <c r="AA30" s="26">
        <f t="shared" ref="AA30" si="8">ROUNDDOWN(Y30/60,0.1)</f>
        <v>10</v>
      </c>
      <c r="AB30" s="57">
        <f t="shared" ref="AB30" si="9">Y30-AA30*60</f>
        <v>3</v>
      </c>
      <c r="AC30" s="64">
        <v>1</v>
      </c>
      <c r="AD30" s="43"/>
      <c r="AE30" s="43"/>
      <c r="AF30" s="43"/>
      <c r="AG30" s="43"/>
      <c r="AH30" s="43"/>
      <c r="AI30" s="43"/>
      <c r="AJ30" s="43"/>
      <c r="AK30" s="43"/>
    </row>
    <row r="31" spans="1:37" ht="15.75" x14ac:dyDescent="0.25"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</row>
    <row r="32" spans="1:37" ht="15.75" x14ac:dyDescent="0.25"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</row>
    <row r="33" spans="3:37" ht="15.75" x14ac:dyDescent="0.25"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</row>
    <row r="34" spans="3:37" ht="15.75" x14ac:dyDescent="0.25"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</row>
    <row r="35" spans="3:37" ht="15.75" x14ac:dyDescent="0.25"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</row>
    <row r="36" spans="3:37" ht="15.75" x14ac:dyDescent="0.25"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</row>
  </sheetData>
  <sortState ref="A21:AC24">
    <sortCondition ref="AC21:AC24"/>
  </sortState>
  <mergeCells count="9">
    <mergeCell ref="D28:E28"/>
    <mergeCell ref="H4:N4"/>
    <mergeCell ref="P4:V4"/>
    <mergeCell ref="I5:L5"/>
    <mergeCell ref="P5:S5"/>
    <mergeCell ref="D16:E16"/>
    <mergeCell ref="D24:E24"/>
    <mergeCell ref="D22:E22"/>
    <mergeCell ref="D23:E23"/>
  </mergeCells>
  <pageMargins left="0.7" right="0.7" top="0.75" bottom="0.75" header="0.3" footer="0.3"/>
  <pageSetup paperSize="8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ARC24</vt:lpstr>
      <vt:lpstr>ARC12</vt:lpstr>
      <vt:lpstr>ARC12n</vt:lpstr>
      <vt:lpstr>ARC8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Reid</dc:creator>
  <cp:lastModifiedBy>Andy Reid</cp:lastModifiedBy>
  <cp:lastPrinted>2014-03-17T08:17:41Z</cp:lastPrinted>
  <dcterms:created xsi:type="dcterms:W3CDTF">2014-02-25T00:14:36Z</dcterms:created>
  <dcterms:modified xsi:type="dcterms:W3CDTF">2014-03-26T00:20:34Z</dcterms:modified>
</cp:coreProperties>
</file>